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zip6jpZrv8eWMhNU/422RlzlKCtNscQsbI2m8NeEj9ti19YQIlSjLlfA4CvNyUXEiz4ef41MWcKtmq5RDgrtug==" workbookSaltValue="59y91ERexVjzO8VAH0mE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R19" i="8"/>
  <c r="EP19" i="8"/>
  <c r="EP19" i="19"/>
  <c r="AT17" i="20"/>
  <c r="K18" i="2"/>
  <c r="M13" i="2"/>
  <c r="T13" i="12"/>
  <c r="T13" i="16"/>
  <c r="T13" i="20"/>
  <c r="BD12" i="8"/>
  <c r="J18" i="17"/>
  <c r="BG15" i="13"/>
  <c r="BA18" i="13"/>
  <c r="AO20" i="20"/>
  <c r="AN20" i="20"/>
  <c r="Y20" i="20"/>
  <c r="U10" i="11"/>
  <c r="AH20" i="20"/>
  <c r="AL20" i="20"/>
  <c r="AB20" i="20"/>
  <c r="C17" i="6" l="1"/>
  <c r="AJ19" i="8"/>
  <c r="T19" i="8"/>
  <c r="H13" i="12"/>
  <c r="AC10" i="11"/>
  <c r="D10" i="6"/>
  <c r="BE10" i="8"/>
  <c r="H12" i="7"/>
  <c r="E12" i="6"/>
  <c r="AL9" i="11"/>
  <c r="N13" i="2"/>
  <c r="F9" i="2"/>
  <c r="AL12" i="11"/>
  <c r="AO12" i="11"/>
  <c r="R8" i="9"/>
  <c r="BF9" i="8"/>
  <c r="B10" i="6"/>
  <c r="H12" i="2"/>
  <c r="C10" i="6"/>
  <c r="AZ18" i="13"/>
  <c r="BG15" i="8"/>
  <c r="K15" i="7" s="1"/>
  <c r="BD16" i="8"/>
  <c r="AO17" i="11"/>
  <c r="L16" i="14"/>
  <c r="L17" i="14"/>
  <c r="F15" i="17"/>
  <c r="AQ15" i="17" s="1"/>
  <c r="AY13" i="8"/>
  <c r="L9" i="14"/>
  <c r="L12" i="14"/>
  <c r="AY13" i="13"/>
  <c r="BA13" i="13"/>
  <c r="BG16" i="11"/>
  <c r="X12" i="21"/>
  <c r="BV11" i="16"/>
  <c r="BH9" i="16"/>
  <c r="Q17" i="20"/>
  <c r="Q18" i="20" s="1"/>
  <c r="S17" i="16"/>
  <c r="AP10" i="21"/>
  <c r="BJ15" i="11"/>
  <c r="R17" i="20"/>
  <c r="R18" i="20" s="1"/>
  <c r="BU15" i="17"/>
  <c r="BW16" i="20"/>
  <c r="BV10" i="16"/>
  <c r="AZ16" i="11"/>
  <c r="BF12" i="11"/>
  <c r="Q15" i="17"/>
  <c r="BH12" i="16"/>
  <c r="V10" i="16"/>
  <c r="BG10" i="11"/>
  <c r="BK12" i="11"/>
  <c r="V11" i="11"/>
  <c r="BJ11" i="11"/>
  <c r="BH17" i="11"/>
  <c r="BU11" i="17"/>
  <c r="BW11" i="20"/>
  <c r="S17" i="14"/>
  <c r="V17" i="14" s="1"/>
  <c r="S9" i="14"/>
  <c r="V9" i="14" s="1"/>
  <c r="X10" i="17"/>
  <c r="X11" i="17"/>
  <c r="V12" i="21"/>
  <c r="S15" i="17"/>
  <c r="X15" i="16"/>
  <c r="X18" i="16" s="1"/>
  <c r="T9" i="11"/>
  <c r="R17" i="14"/>
  <c r="AA16" i="16"/>
  <c r="X17" i="17"/>
  <c r="V15" i="16"/>
  <c r="AZ11" i="11"/>
  <c r="L12" i="2"/>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G17" i="3"/>
  <c r="I10" i="3"/>
  <c r="D13" i="5"/>
  <c r="BF11" i="8"/>
  <c r="J11" i="7" s="1"/>
  <c r="BE12" i="8"/>
  <c r="I12" i="7" s="1"/>
  <c r="BE15" i="8"/>
  <c r="C16" i="6"/>
  <c r="U19" i="8"/>
  <c r="Y19" i="8"/>
  <c r="AI19" i="8"/>
  <c r="BK19" i="8"/>
  <c r="B11" i="6"/>
  <c r="C12" i="14"/>
  <c r="K12" i="14" s="1"/>
  <c r="K18" i="11"/>
  <c r="E9" i="6"/>
  <c r="K9" i="12" s="1"/>
  <c r="I9" i="7"/>
  <c r="H9" i="7"/>
  <c r="K9" i="7"/>
  <c r="AO12"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C13" i="6" l="1"/>
  <c r="J13" i="2"/>
  <c r="F13" i="2"/>
  <c r="J18" i="2"/>
  <c r="BG12" i="11"/>
  <c r="Q12" i="11" s="1"/>
  <c r="Q17" i="17"/>
  <c r="BJ10" i="11"/>
  <c r="BH16" i="11"/>
  <c r="L16" i="2"/>
  <c r="AZ12" i="11"/>
  <c r="BI9" i="11"/>
  <c r="BH11" i="11"/>
  <c r="BJ16" i="11"/>
  <c r="L9" i="2"/>
  <c r="U9" i="17"/>
  <c r="U19" i="17" s="1"/>
  <c r="AQ12" i="21"/>
  <c r="BK16" i="11"/>
  <c r="BH10" i="11"/>
  <c r="AP16" i="20"/>
  <c r="BV17" i="16"/>
  <c r="BW10" i="20"/>
  <c r="T17" i="11"/>
  <c r="BJ17" i="11"/>
  <c r="BH15" i="16"/>
  <c r="V11" i="16"/>
  <c r="BF16" i="11"/>
  <c r="BL12" i="11"/>
  <c r="BK11" i="11"/>
  <c r="BM12" i="11"/>
  <c r="BI15" i="11"/>
  <c r="BJ12" i="11"/>
  <c r="BG15" i="11"/>
  <c r="BK17" i="11"/>
  <c r="AP17" i="20"/>
  <c r="BW9" i="20"/>
  <c r="BW21" i="20" s="1"/>
  <c r="BV16" i="16"/>
  <c r="BV15" i="16"/>
  <c r="BU9" i="17"/>
  <c r="BU17" i="17"/>
  <c r="BV9" i="16"/>
  <c r="T16" i="11"/>
  <c r="P15" i="17"/>
  <c r="BL15" i="11"/>
  <c r="Q15" i="11" s="1"/>
  <c r="BH10" i="16"/>
  <c r="BM17" i="11"/>
  <c r="P17" i="11" s="1"/>
  <c r="BM9" i="11"/>
  <c r="BK10" i="11"/>
  <c r="BK13" i="11" s="1"/>
  <c r="L17" i="2"/>
  <c r="V9" i="16"/>
  <c r="BH17" i="16"/>
  <c r="BM16" i="11"/>
  <c r="BL17" i="11"/>
  <c r="BF10" i="11"/>
  <c r="Q10" i="11" s="1"/>
  <c r="BK15" i="11"/>
  <c r="BI10" i="11"/>
  <c r="V9" i="11"/>
  <c r="BI17" i="11"/>
  <c r="BL11" i="11"/>
  <c r="BM15" i="11"/>
  <c r="T15" i="16"/>
  <c r="BU10" i="17"/>
  <c r="BU21" i="17" s="1"/>
  <c r="BW12" i="20"/>
  <c r="U10" i="17"/>
  <c r="S10" i="14"/>
  <c r="V10" i="14" s="1"/>
  <c r="R10" i="14"/>
  <c r="R16" i="14"/>
  <c r="S15" i="14"/>
  <c r="V15" i="14" s="1"/>
  <c r="X16" i="17"/>
  <c r="AA15" i="16"/>
  <c r="X9" i="17"/>
  <c r="T17" i="20"/>
  <c r="U10" i="21"/>
  <c r="AA12" i="21"/>
  <c r="S10" i="17"/>
  <c r="L11" i="2"/>
  <c r="V15" i="20"/>
  <c r="V18" i="20" s="1"/>
  <c r="BL9" i="11"/>
  <c r="BF11" i="11"/>
  <c r="S12" i="14"/>
  <c r="V12" i="14" s="1"/>
  <c r="R11" i="14"/>
  <c r="T12" i="11"/>
  <c r="S11" i="14"/>
  <c r="V11" i="14" s="1"/>
  <c r="AA10" i="16"/>
  <c r="AA17" i="16"/>
  <c r="AA9" i="16"/>
  <c r="X13" i="20"/>
  <c r="S9" i="17"/>
  <c r="S17" i="17"/>
  <c r="AZ15" i="11"/>
  <c r="AZ18" i="11" s="1"/>
  <c r="L10" i="2"/>
  <c r="X10" i="21"/>
  <c r="X19" i="21" s="1"/>
  <c r="S16" i="17"/>
  <c r="AM15" i="11"/>
  <c r="AO16" i="17"/>
  <c r="AO17" i="17"/>
  <c r="AM9" i="11"/>
  <c r="AP13" i="20"/>
  <c r="AM11" i="11"/>
  <c r="BD13" i="13"/>
  <c r="AQ13" i="21"/>
  <c r="AO10" i="17"/>
  <c r="AO15" i="17"/>
  <c r="X12" i="16"/>
  <c r="AZ17" i="11"/>
  <c r="S11" i="17"/>
  <c r="AA11" i="16"/>
  <c r="X12" i="17"/>
  <c r="T11" i="11"/>
  <c r="S16" i="14"/>
  <c r="V16" i="14" s="1"/>
  <c r="BH11" i="16"/>
  <c r="X9" i="16"/>
  <c r="X19" i="16" s="1"/>
  <c r="X16" i="20"/>
  <c r="X17" i="20"/>
  <c r="X15" i="17"/>
  <c r="T15" i="11"/>
  <c r="R12" i="14"/>
  <c r="R13" i="14" s="1"/>
  <c r="V12" i="16"/>
  <c r="BV12" i="16"/>
  <c r="T17" i="16"/>
  <c r="BG9" i="11"/>
  <c r="Q10" i="21"/>
  <c r="Q13" i="21" s="1"/>
  <c r="Q19" i="21" s="1"/>
  <c r="BK9" i="11"/>
  <c r="P17" i="17"/>
  <c r="V15" i="11"/>
  <c r="L15" i="2"/>
  <c r="BF15" i="11"/>
  <c r="BL10" i="11"/>
  <c r="S15" i="16"/>
  <c r="S18" i="16" s="1"/>
  <c r="BU16" i="17"/>
  <c r="BW15" i="20"/>
  <c r="BW17" i="20"/>
  <c r="AZ9" i="11"/>
  <c r="AP15" i="20"/>
  <c r="BH9" i="11"/>
  <c r="V17" i="16"/>
  <c r="BF17" i="11"/>
  <c r="BH15" i="11"/>
  <c r="BU12" i="17"/>
  <c r="R10" i="21"/>
  <c r="AQ10" i="21"/>
  <c r="BL16" i="11"/>
  <c r="V10" i="21"/>
  <c r="X13" i="17"/>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I19" i="8"/>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K12" i="12"/>
  <c r="AJ18" i="11"/>
  <c r="D18" i="5"/>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BV13" i="16"/>
  <c r="I17" i="12"/>
  <c r="BF13" i="8"/>
  <c r="P9" i="11"/>
  <c r="AQ19" i="20"/>
  <c r="D11" i="6"/>
  <c r="J11" i="12" s="1"/>
  <c r="E11" i="3"/>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AO18" i="17" l="1"/>
  <c r="F13" i="21"/>
  <c r="F19" i="21" s="1"/>
  <c r="B19" i="7"/>
  <c r="R13" i="21"/>
  <c r="R19" i="21" s="1"/>
  <c r="BJ18" i="11"/>
  <c r="S13" i="14"/>
  <c r="BI18" i="11"/>
  <c r="U13" i="17"/>
  <c r="BL18" i="11"/>
  <c r="P15" i="11"/>
  <c r="AZ19" i="11"/>
  <c r="AZ13" i="11"/>
  <c r="P18" i="17"/>
  <c r="P19" i="17"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F20" i="17"/>
  <c r="AQ20" i="16"/>
  <c r="AF20" i="11"/>
  <c r="P20" i="16"/>
  <c r="N20" i="16"/>
  <c r="AG20" i="2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J20" i="16"/>
  <c r="AW20" i="21"/>
  <c r="BB20" i="16"/>
  <c r="L20" i="16"/>
  <c r="AF20" i="21"/>
  <c r="W20" i="17"/>
  <c r="AO20" i="11"/>
  <c r="E20" i="21"/>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<sst xmlns="http://schemas.openxmlformats.org/spreadsheetml/2006/main" count="2102" uniqueCount="917">
  <si>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</si>
  <si>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</si>
  <si>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</si>
  <si>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</si>
  <si>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</si>
  <si>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</si>
  <si>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</si>
  <si>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</si>
  <si>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</si>
  <si>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</si>
  <si>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</si>
  <si>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</si>
  <si>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</si>
  <si>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</si>
  <si>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</si>
  <si>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</si>
  <si>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</si>
  <si>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</si>
  <si>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</si>
  <si>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</si>
  <si>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</si>
  <si>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</si>
  <si>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</si>
  <si>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</si>
  <si>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</si>
  <si>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</si>
  <si>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</si>
  <si>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</si>
  <si>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</si>
  <si>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</si>
  <si>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</si>
  <si>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</si>
  <si>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</si>
  <si>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</si>
  <si>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</si>
  <si>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</si>
  <si>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</si>
  <si>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</si>
  <si>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</si>
  <si>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</si>
  <si>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</si>
  <si>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</si>
  <si>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</si>
  <si>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</si>
  <si>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</si>
  <si>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</si>
  <si>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</si>
  <si>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</si>
  <si>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</si>
  <si>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</si>
  <si>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</si>
  <si>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</si>
  <si>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</si>
  <si>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</si>
  <si>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</si>
  <si>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</si>
  <si>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</si>
  <si>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</si>
  <si>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</si>
  <si>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</si>
  <si>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</si>
  <si>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</si>
  <si>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</si>
  <si>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</si>
  <si>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</si>
  <si>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</si>
  <si>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</si>
  <si>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</si>
  <si>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</si>
  <si>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</si>
  <si>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</si>
  <si>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</si>
  <si>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</si>
  <si>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</si>
  <si>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</si>
  <si>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</si>
  <si>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</si>
  <si>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</si>
  <si>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</si>
  <si>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</si>
  <si>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</si>
  <si>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</si>
  <si>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</si>
  <si>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</si>
  <si>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</si>
  <si>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</si>
  <si>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</si>
  <si>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</si>
  <si>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</si>
  <si>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</si>
  <si>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</si>
  <si>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</si>
  <si>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</si>
  <si>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</si>
  <si>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</si>
  <si>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</si>
  <si>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</si>
  <si>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</si>
  <si>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</si>
  <si>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</si>
  <si>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</si>
  <si>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</si>
  <si>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</si>
  <si>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</si>
  <si>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</si>
  <si>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</si>
  <si>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</si>
  <si>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</si>
  <si>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</si>
  <si>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</si>
  <si>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</si>
  <si>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</si>
  <si>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</si>
  <si>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</si>
  <si>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</si>
  <si>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</si>
  <si>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</si>
  <si>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</si>
  <si>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</si>
  <si>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</si>
  <si>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</si>
  <si>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</si>
  <si>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</si>
  <si>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</si>
  <si>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</si>
  <si>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</si>
  <si>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</si>
  <si>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</si>
  <si>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</si>
  <si>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</si>
  <si>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</si>
  <si>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</si>
  <si>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</si>
  <si>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</si>
  <si>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</si>
  <si>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</si>
  <si>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</si>
  <si>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</si>
  <si>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</si>
  <si>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</si>
  <si>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</si>
  <si>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</si>
  <si>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</si>
  <si>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</si>
  <si>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</si>
  <si>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</si>
  <si>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</si>
  <si>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</si>
  <si>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</si>
  <si>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</si>
  <si>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</si>
  <si>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</si>
  <si>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</si>
  <si>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</si>
  <si>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</si>
  <si>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</si>
  <si>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</si>
  <si>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</si>
  <si>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</si>
  <si>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</si>
  <si>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</si>
  <si>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</si>
  <si>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</si>
  <si>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</si>
  <si>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</si>
  <si>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</si>
  <si>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</si>
  <si>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</si>
  <si>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</si>
  <si>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</si>
  <si>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</si>
  <si>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</si>
  <si>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</si>
  <si>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</si>
  <si>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</si>
  <si>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</si>
  <si>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</si>
  <si>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</si>
  <si>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</si>
  <si>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</si>
  <si>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</si>
  <si>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</si>
  <si>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</si>
  <si>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</si>
  <si>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</si>
  <si>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</si>
  <si>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</si>
  <si>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</si>
  <si>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</si>
  <si>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</si>
  <si>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</si>
  <si>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</si>
  <si>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</si>
  <si>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</si>
  <si>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</si>
  <si>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</si>
  <si>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</si>
  <si>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</si>
  <si>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</si>
  <si>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</si>
  <si>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</si>
  <si>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</si>
  <si>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</si>
  <si>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</si>
  <si>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</si>
  <si>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</si>
  <si>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</si>
  <si>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</si>
  <si>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</si>
  <si>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</si>
  <si>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</si>
  <si>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</si>
  <si>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</si>
  <si>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</si>
  <si>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</si>
  <si>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</si>
  <si>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</si>
  <si>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</si>
  <si>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</si>
  <si>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</si>
  <si>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</si>
  <si>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</si>
  <si>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</si>
  <si>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</si>
  <si>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</si>
  <si>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</si>
  <si>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</si>
  <si>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</si>
  <si>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</si>
  <si>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</si>
  <si>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</si>
  <si>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</si>
  <si>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</si>
  <si>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</si>
  <si>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</si>
  <si>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</si>
  <si>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</si>
  <si>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</si>
  <si>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</si>
  <si>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</si>
  <si>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</si>
  <si>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</si>
  <si>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</si>
  <si>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</si>
  <si>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</si>
  <si>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</si>
  <si>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</si>
  <si>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</si>
  <si>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</si>
  <si>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</si>
  <si>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</si>
  <si>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</si>
  <si>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</si>
  <si>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</si>
  <si>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</si>
  <si>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</si>
  <si>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</si>
  <si>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</si>
  <si>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</si>
  <si>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</si>
  <si>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</si>
  <si>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</si>
  <si>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</si>
  <si>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</si>
  <si>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</si>
  <si>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</si>
  <si>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</si>
  <si>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</si>
  <si>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</si>
  <si>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</si>
  <si>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</si>
  <si>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</si>
  <si>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</si>
  <si>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</si>
  <si>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</si>
  <si>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</si>
  <si>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</si>
  <si>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</si>
  <si>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</si>
  <si>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</si>
  <si>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</si>
  <si>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</si>
  <si>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</si>
  <si>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</si>
  <si>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</si>
  <si>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</si>
  <si>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</si>
  <si>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</si>
  <si>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</si>
  <si>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</si>
  <si>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</si>
  <si>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</si>
  <si>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</si>
  <si>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</si>
  <si>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</si>
  <si>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</si>
  <si>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</si>
  <si>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</si>
  <si>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</si>
  <si>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</si>
  <si>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</si>
  <si>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</si>
  <si>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</si>
  <si>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</si>
  <si>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</si>
  <si>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</si>
  <si>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</si>
  <si>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</si>
  <si>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</si>
  <si>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</si>
  <si>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</si>
  <si>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</si>
  <si>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</si>
  <si>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</si>
  <si>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</si>
  <si>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</si>
  <si>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</si>
  <si>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</si>
  <si>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</si>
  <si>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</si>
  <si>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</si>
  <si>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</si>
  <si>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</si>
  <si>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</si>
  <si>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</si>
  <si>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</si>
  <si>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</si>
  <si>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</si>
  <si>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</si>
  <si>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</si>
  <si>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</si>
  <si>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</si>
  <si>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</si>
  <si>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</si>
  <si>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</si>
  <si>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</si>
  <si>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</si>
  <si>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</si>
  <si>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</si>
  <si>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</si>
  <si>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</si>
  <si>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</si>
  <si>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</si>
  <si>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</si>
  <si>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</si>
  <si>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</si>
  <si>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</si>
  <si>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</si>
  <si>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</si>
  <si>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</si>
  <si>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</si>
  <si>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</si>
  <si>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</si>
  <si>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</si>
  <si>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</si>
  <si>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</si>
  <si>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</si>
  <si>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</si>
  <si>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</si>
  <si>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</si>
  <si>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</si>
  <si>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</si>
  <si>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</si>
  <si>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</si>
  <si>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</si>
  <si>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</si>
  <si>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</si>
  <si>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</si>
  <si>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</si>
  <si>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</si>
  <si>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</si>
  <si>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</si>
  <si>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</si>
  <si>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</si>
  <si>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</si>
  <si>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</si>
  <si>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</si>
  <si>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</si>
  <si>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</si>
  <si>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</si>
  <si>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</si>
  <si>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</si>
  <si>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</si>
  <si>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</si>
  <si>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</si>
  <si>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</si>
  <si>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</si>
  <si>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</si>
  <si>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</si>
  <si>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</si>
  <si>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</si>
  <si>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</si>
  <si>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</si>
  <si>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</si>
  <si>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</si>
  <si>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</si>
  <si>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</si>
  <si>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</si>
  <si>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</si>
  <si>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</si>
  <si>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</si>
  <si>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</si>
  <si>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</si>
  <si>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</si>
  <si>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</si>
  <si>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</si>
  <si>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</si>
  <si>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</si>
  <si>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</si>
  <si>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</si>
  <si>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</si>
  <si>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</si>
  <si>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</si>
  <si>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</si>
  <si>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</si>
  <si>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</si>
  <si>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</si>
  <si>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</si>
  <si>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</si>
  <si>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</si>
  <si>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</si>
  <si>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</si>
  <si>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</si>
  <si>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</si>
  <si>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</si>
  <si>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</si>
  <si>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</si>
  <si>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</si>
  <si>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</si>
  <si>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</si>
  <si>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</si>
  <si>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</si>
  <si>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</si>
  <si>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</si>
  <si>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</si>
  <si>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</si>
  <si>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</si>
  <si>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</si>
  <si>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</si>
  <si>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</si>
  <si>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</si>
  <si>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</si>
  <si>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</si>
  <si>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</si>
  <si>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</si>
  <si>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</si>
  <si>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</si>
  <si>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</si>
  <si>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</si>
  <si>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</si>
  <si>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</si>
  <si>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</si>
  <si>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</si>
  <si>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</si>
  <si>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</si>
  <si>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</si>
  <si>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</si>
  <si>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</si>
  <si>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</si>
  <si>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</si>
  <si>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</si>
  <si>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</si>
  <si>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</si>
  <si>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</si>
  <si>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</si>
  <si>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</si>
  <si>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</si>
  <si>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</si>
  <si>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</si>
  <si>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</si>
  <si>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</si>
  <si>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</si>
  <si>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</si>
  <si>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</si>
  <si>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</si>
  <si>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</si>
  <si>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</si>
  <si>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</si>
  <si>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</si>
  <si>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</si>
  <si>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</si>
  <si>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</si>
  <si>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</si>
  <si>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</si>
  <si>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</si>
  <si>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</si>
  <si>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</si>
  <si>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</si>
  <si>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</si>
  <si>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</si>
  <si>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</si>
  <si>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</si>
  <si>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</si>
  <si>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</si>
  <si>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</si>
  <si>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</si>
  <si>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</si>
  <si>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</si>
  <si>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</si>
  <si>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</si>
  <si>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</si>
  <si>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</si>
  <si>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</si>
  <si>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</si>
  <si>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</si>
  <si>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</si>
  <si>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</si>
  <si>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</si>
  <si>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</si>
  <si>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</si>
  <si>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</si>
  <si>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</si>
  <si>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</si>
  <si>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</si>
  <si>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</si>
  <si>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</si>
  <si>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</si>
  <si>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</si>
  <si>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</si>
  <si>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</si>
  <si>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</si>
  <si>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</si>
  <si>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</si>
  <si>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</si>
  <si>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</si>
  <si>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</si>
  <si>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</si>
  <si>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</si>
  <si>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</si>
  <si>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</si>
  <si>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</si>
  <si>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</si>
  <si>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</si>
  <si>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</si>
  <si>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</si>
  <si>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</si>
  <si>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</si>
  <si>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</si>
  <si>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</si>
  <si>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</si>
  <si>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</si>
  <si>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</si>
  <si>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</si>
  <si>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</si>
  <si>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</si>
  <si>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</si>
  <si>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</si>
  <si>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</si>
  <si>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</si>
  <si>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</si>
  <si>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</si>
  <si>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</si>
  <si>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</si>
  <si>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</si>
  <si>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</si>
  <si>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</si>
  <si>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</si>
  <si>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</si>
  <si>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</si>
  <si>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</si>
  <si>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</si>
  <si>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</si>
  <si>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</si>
  <si>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</si>
  <si>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</si>
  <si>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</si>
  <si>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</si>
  <si>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</si>
  <si>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</si>
  <si>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</si>
  <si>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</si>
  <si>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</si>
  <si>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</si>
  <si>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</si>
  <si>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</si>
  <si>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</si>
  <si>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</si>
  <si>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</si>
  <si>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</si>
  <si>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</si>
  <si>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</si>
  <si>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</si>
  <si>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</si>
  <si>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</si>
  <si>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</si>
  <si>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</si>
  <si>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</si>
  <si>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</si>
  <si>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</si>
  <si>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</si>
  <si>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</si>
  <si>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</si>
  <si>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</si>
  <si>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</si>
  <si>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</si>
  <si>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</si>
  <si>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</si>
  <si>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</si>
  <si>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</si>
  <si>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</si>
  <si>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</si>
  <si>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</si>
  <si>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</si>
  <si>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</si>
  <si>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</si>
  <si>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</si>
  <si>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</si>
  <si>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</si>
  <si>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</si>
  <si>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</si>
  <si>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</si>
  <si>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</si>
  <si>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</si>
  <si>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</si>
  <si>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</si>
  <si>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</si>
  <si>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</si>
  <si>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</si>
  <si>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</si>
  <si>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</si>
  <si>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</si>
  <si>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</si>
  <si>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</si>
  <si>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</si>
  <si>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</si>
  <si>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</si>
  <si>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</si>
  <si>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</si>
  <si>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</si>
  <si>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</si>
  <si>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</si>
  <si>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</si>
  <si>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</si>
  <si>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</si>
  <si>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</si>
  <si>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</si>
  <si>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</si>
  <si>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</si>
  <si>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</si>
  <si>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</si>
  <si>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</si>
  <si>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</si>
  <si>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</si>
  <si>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</si>
  <si>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</si>
  <si>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</si>
  <si>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</si>
  <si>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</si>
  <si>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</si>
  <si>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</si>
  <si>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</si>
  <si>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</si>
  <si>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</si>
  <si>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</si>
  <si>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</si>
  <si>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</si>
  <si>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</si>
  <si>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</si>
  <si>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</si>
  <si>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</si>
  <si>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</si>
  <si>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</si>
  <si>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</si>
  <si>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</si>
  <si>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</si>
  <si>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</si>
  <si>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</si>
  <si>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</si>
  <si>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</si>
  <si>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</si>
  <si>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</si>
  <si>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</si>
  <si>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</si>
  <si>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</si>
  <si>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</si>
  <si>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</si>
  <si>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</si>
  <si>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</si>
  <si>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</si>
  <si>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</si>
  <si>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</si>
  <si>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</si>
  <si>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</si>
  <si>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</si>
  <si>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</si>
  <si>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</si>
  <si>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</si>
  <si>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</si>
  <si>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</si>
  <si>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</si>
  <si>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</si>
  <si>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</si>
  <si>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</si>
  <si>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</si>
  <si>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</si>
  <si>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</si>
  <si>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</si>
  <si>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</si>
  <si>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</si>
  <si>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</si>
  <si>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</si>
  <si>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</si>
  <si>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</si>
  <si>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</si>
  <si>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</si>
  <si>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</si>
  <si>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</si>
  <si>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</si>
  <si>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</si>
  <si>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</si>
  <si>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</si>
  <si>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</si>
  <si>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</si>
  <si>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</si>
  <si>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</si>
  <si>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</si>
  <si>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</si>
  <si>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</si>
  <si>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</si>
  <si>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</si>
  <si>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</si>
  <si>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</si>
  <si>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</si>
  <si>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</si>
  <si>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</si>
  <si>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</si>
  <si>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</si>
  <si>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</si>
  <si>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</si>
  <si>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</si>
  <si>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</si>
  <si>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</si>
  <si>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</si>
  <si>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</si>
  <si>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</si>
  <si>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</si>
  <si>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</si>
  <si>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</si>
  <si>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</si>
  <si>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</si>
  <si>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</si>
  <si>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</si>
  <si>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</si>
  <si>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</si>
  <si>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</si>
  <si>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</si>
  <si>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</si>
  <si>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</si>
  <si>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</si>
  <si>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</si>
  <si>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</si>
  <si>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</si>
  <si>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</si>
  <si>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</si>
  <si>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</si>
  <si>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</si>
  <si>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</si>
  <si>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</si>
  <si>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</si>
  <si>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</si>
  <si>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</si>
  <si>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</si>
  <si>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</si>
  <si>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</si>
  <si>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</si>
  <si>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</si>
  <si>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</si>
  <si>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</si>
  <si>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</si>
  <si>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</si>
  <si>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</si>
  <si>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</si>
  <si>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</si>
  <si>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</si>
  <si>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</si>
  <si>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</si>
  <si>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</si>
  <si>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</si>
  <si>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</si>
  <si>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</si>
  <si>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</si>
  <si>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</si>
  <si>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</si>
  <si>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</si>
  <si>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</si>
  <si>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</si>
  <si>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</si>
  <si>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</si>
  <si>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</si>
  <si>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</si>
  <si>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</si>
  <si>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</si>
  <si>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</si>
  <si>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</si>
  <si>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</si>
  <si>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</si>
  <si>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</si>
  <si>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</si>
  <si>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</si>
  <si>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</si>
  <si>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</si>
  <si>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</si>
  <si>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</si>
  <si>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</si>
  <si>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</si>
  <si>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</si>
  <si>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</si>
  <si>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</si>
  <si>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</si>
  <si>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</si>
  <si>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</si>
  <si>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</si>
  <si>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</si>
  <si>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</si>
  <si>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</si>
  <si>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</si>
  <si>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</si>
  <si>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</si>
  <si>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</si>
  <si>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</si>
  <si>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</si>
  <si>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</si>
  <si>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</si>
  <si>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</si>
  <si>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</si>
  <si>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</si>
  <si>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</si>
  <si>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</si>
  <si>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</si>
  <si>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</si>
  <si>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</si>
  <si>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</si>
  <si>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</si>
  <si>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</si>
  <si>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</si>
  <si>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</si>
  <si>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</si>
  <si>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</si>
  <si>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</si>
  <si>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</si>
  <si>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</si>
  <si>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</si>
  <si>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</si>
  <si>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</si>
  <si>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</si>
  <si>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</si>
  <si>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</si>
  <si>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</si>
  <si>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</si>
  <si>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</si>
  <si>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</si>
  <si>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</si>
  <si>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</si>
  <si>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</si>
  <si>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</si>
  <si>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</si>
  <si>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</si>
  <si>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</si>
  <si>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</si>
  <si>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</si>
  <si>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</si>
  <si>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</si>
  <si>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</si>
  <si>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</si>
  <si>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</si>
  <si>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</si>
  <si>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</si>
  <si>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</si>
  <si>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</si>
  <si>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</si>
  <si>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</si>
  <si>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</si>
  <si>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</si>
  <si>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</si>
  <si>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</si>
  <si>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</si>
  <si>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</si>
  <si>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</si>
  <si>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</si>
  <si>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</si>
  <si>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</si>
  <si>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</si>
  <si>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</si>
  <si>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</si>
  <si>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</si>
  <si>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</si>
  <si>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</si>
  <si>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</si>
  <si>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</si>
  <si>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</si>
  <si>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</si>
  <si>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</si>
  <si>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</si>
  <si>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</si>
  <si>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</si>
  <si>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</si>
  <si>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</si>
  <si>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</si>
  <si>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</si>
  <si>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</si>
  <si>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</si>
  <si>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</si>
  <si>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</si>
  <si>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</si>
  <si>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</si>
  <si>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</si>
  <si>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</si>
  <si>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</si>
  <si>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</si>
  <si>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</si>
  <si>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</si>
  <si>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</si>
  <si>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</si>
  <si>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</si>
  <si>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MALAGA</t>
  </si>
  <si>
    <t>Resumenes por Partidos Judiciales</t>
  </si>
  <si>
    <t>VELEZ-MALAGA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</si>
</sst>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LP56RXEMYLPz8p8YHy3th9sb4SS/ueYkvlG8gw0XJJhuwSgrReoMWV1rnpq82qF15pcoZi9MFbN9ma+qnla4Q==" saltValue="X2Uf9xuZxRROIXOgUiC8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4</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50.024012393493415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2197</v>
      </c>
      <c r="D16" s="225">
        <f>IF(ISNUMBER(IF(D_I="SI",Datos!I16,Datos!I16+Datos!AC16)),IF(D_I="SI",Datos!I16,Datos!I16+Datos!AC16)," - ")</f>
        <v>2197</v>
      </c>
      <c r="E16" s="226">
        <f>IF(ISNUMBER(IF(D_I="SI",Datos!J16,Datos!J16+Datos!AD16)),IF(D_I="SI",Datos!J16,Datos!J16+Datos!AD16)," - ")</f>
        <v>1765</v>
      </c>
      <c r="F16" s="226">
        <f>IF(ISNUMBER(IF(D_I="SI",Datos!K16,Datos!K16+Datos!AE16)),IF(D_I="SI",Datos!K16,Datos!K16+Datos!AE16)," - ")</f>
        <v>1580</v>
      </c>
      <c r="G16" s="1034" t="str">
        <f>IF(Datos!E16&lt;&gt;"",Datos!E16,Datos!D16)</f>
        <v>04</v>
      </c>
      <c r="H16" s="227">
        <f>IF(ISNUMBER(IF(D_I="SI",Datos!L16,Datos!L16+Datos!AF16)),IF(D_I="SI",Datos!L16,Datos!L16+Datos!AF16)," - ")</f>
        <v>2382</v>
      </c>
      <c r="I16" s="1044" t="str">
        <f>IF(ISNUMBER(Datos!AS16/Datos!BM16),Datos!AS16/Datos!BM16," - ")</f>
        <v xml:space="preserve"> - </v>
      </c>
      <c r="J16" s="1045">
        <f>IF(ISNUMBER(Datos!BY16/Datos!CN16),Datos!BY16/Datos!CN16," - ")</f>
        <v>0</v>
      </c>
      <c r="K16" s="230">
        <f t="shared" si="3"/>
        <v>8.4205735093309059E-2</v>
      </c>
      <c r="L16" s="1025">
        <f>IF(ISNUMBER(NºAsuntos!I16/NºAsuntos!G16),(NºAsuntos!I16/NºAsuntos!G16)*11," - ")</f>
        <v>16.583544303797467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71</v>
      </c>
      <c r="D17" s="225">
        <f>IF(ISNUMBER(IF(D_I="SI",Datos!I17,Datos!I17+Datos!AC17)),IF(D_I="SI",Datos!I17,Datos!I17+Datos!AC17)," - ")</f>
        <v>71</v>
      </c>
      <c r="E17" s="226">
        <f>IF(ISNUMBER(IF(D_I="SI",Datos!J17,Datos!J17+Datos!AD17)),IF(D_I="SI",Datos!J17,Datos!J17+Datos!AD17)," - ")</f>
        <v>134</v>
      </c>
      <c r="F17" s="226">
        <f>IF(ISNUMBER(IF(D_I="SI",Datos!K17,Datos!K17+Datos!AE17)),IF(D_I="SI",Datos!K17,Datos!K17+Datos!AE17)," - ")</f>
        <v>110</v>
      </c>
      <c r="G17" s="1034" t="str">
        <f>IF(Datos!E17&lt;&gt;"",Datos!E17,Datos!D17)</f>
        <v>37</v>
      </c>
      <c r="H17" s="227">
        <f>IF(ISNUMBER(IF(D_I="SI",Datos!L17,Datos!L17+Datos!AF17)),IF(D_I="SI",Datos!L17,Datos!L17+Datos!AF17)," - ")</f>
        <v>95</v>
      </c>
      <c r="I17" s="1044" t="str">
        <f>IF(ISNUMBER(Datos!AS17/Datos!BM17),Datos!AS17/Datos!BM17," - ")</f>
        <v xml:space="preserve"> - </v>
      </c>
      <c r="J17" s="1045" t="str">
        <f>IF(ISNUMBER((Datos!BY17+Datos!BZ17)/Datos!CN17),(Datos!BY17+Datos!BZ17)/Datos!CN17," - ")</f>
        <v xml:space="preserve"> - </v>
      </c>
      <c r="K17" s="230">
        <f t="shared" si="3"/>
        <v>0.3380281690140845</v>
      </c>
      <c r="L17" s="1025">
        <f>IF(ISNUMBER(NºAsuntos!I17/NºAsuntos!G17),(NºAsuntos!I17/NºAsuntos!G17)*11," - ")</f>
        <v>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2268</v>
      </c>
      <c r="D18" s="1049">
        <f>SUBTOTAL(9,D15:D17)</f>
        <v>2268</v>
      </c>
      <c r="E18" s="1050">
        <f>SUBTOTAL(9,E15:E17)</f>
        <v>1899</v>
      </c>
      <c r="F18" s="1050">
        <f>SUBTOTAL(9,F15:F17)</f>
        <v>1690</v>
      </c>
      <c r="G18" s="1052" t="str">
        <f ca="1">INDIRECT(CONCATENATE("G",ROW()-1))</f>
        <v>37</v>
      </c>
      <c r="H18" s="1053">
        <f ca="1">SUMIF(G$14:G17,G18,H$14:H17)</f>
        <v>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2274</v>
      </c>
      <c r="D19" s="1071">
        <f>SUBTOTAL(9,D9:D18)</f>
        <v>2274</v>
      </c>
      <c r="E19" s="1072">
        <f>SUBTOTAL(9,E9:E18)</f>
        <v>1903</v>
      </c>
      <c r="F19" s="1072">
        <f>SUBTOTAL(9,F9:F18)</f>
        <v>1694</v>
      </c>
      <c r="G19" s="1073"/>
      <c r="H19" s="1074">
        <f ca="1">SUMIF(B9:B18,"TOTAL",H9:H18)</f>
        <v>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nmAwZZ9iTge3ZZkdQbaq3DxIS3KRllzy6nc4VfZWdDAzP9nPrMpTlkTuirVuXUSkB5/M7l9tfymGNvbgEUoTEg==" saltValue="vFlyWU4bYUiTC+5/+DH2s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HR4UWadEhk0u3u0cGxOW4f9hhWQVTchIZ5m87UjUrzVdKinRRv3/8MCBE/QB28i/LaCH9ughEMiPZbZm8Dnzg==" saltValue="GezQs5EgOIIpmlfle+xv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4</v>
      </c>
      <c r="K10" s="181">
        <v>4</v>
      </c>
      <c r="L10" s="181">
        <v>6</v>
      </c>
      <c r="M10" s="181">
        <v>4</v>
      </c>
      <c r="N10" s="181">
        <v>0</v>
      </c>
      <c r="O10" s="181">
        <v>0</v>
      </c>
      <c r="P10" s="181">
        <v>0</v>
      </c>
      <c r="Q10" s="181">
        <v>0</v>
      </c>
      <c r="R10" s="181">
        <v>0</v>
      </c>
      <c r="S10" s="181">
        <v>7</v>
      </c>
      <c r="T10" s="181">
        <v>7</v>
      </c>
      <c r="U10" s="181">
        <v>5</v>
      </c>
      <c r="V10" s="181">
        <v>9</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v>
      </c>
      <c r="AZ10" s="129">
        <f t="shared" si="0"/>
        <v>7</v>
      </c>
      <c r="BA10" s="129">
        <f t="shared" si="0"/>
        <v>5</v>
      </c>
      <c r="BB10" s="129">
        <f t="shared" si="0"/>
        <v>9</v>
      </c>
      <c r="BC10" s="125">
        <f t="shared" si="0"/>
        <v>3</v>
      </c>
      <c r="BD10" s="126">
        <f>IF(ISNUMBER(BA10/AZ10),BA10/AZ10," - ")</f>
        <v>0.7142857142857143</v>
      </c>
      <c r="BE10" s="127">
        <f>IF(ISNUMBER(BB10/BA10),BB10/BA10, " - ")</f>
        <v>1.8</v>
      </c>
      <c r="BF10" s="127">
        <f>IF(ISNUMBER(BC10/BA10),BC10/BA10, " - ")</f>
        <v>0.6</v>
      </c>
      <c r="BG10" s="196">
        <f>IF(ISNUMBER((AY10+AZ10)/BA10),(AY10+AZ10)/BA10," - ")</f>
        <v>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4704</v>
      </c>
      <c r="J12" s="183">
        <v>2264</v>
      </c>
      <c r="K12" s="183">
        <v>1181</v>
      </c>
      <c r="L12" s="183">
        <v>5787</v>
      </c>
      <c r="M12" s="183">
        <v>431</v>
      </c>
      <c r="N12" s="183">
        <v>421</v>
      </c>
      <c r="O12" s="181">
        <v>413</v>
      </c>
      <c r="P12" s="183">
        <v>173</v>
      </c>
      <c r="Q12" s="183">
        <v>333</v>
      </c>
      <c r="R12" s="183">
        <v>4196</v>
      </c>
      <c r="S12" s="183">
        <v>3486</v>
      </c>
      <c r="T12" s="183">
        <v>917</v>
      </c>
      <c r="U12" s="183">
        <v>897</v>
      </c>
      <c r="V12" s="183">
        <v>3506</v>
      </c>
      <c r="W12" s="183">
        <v>313</v>
      </c>
      <c r="X12" s="189">
        <v>417</v>
      </c>
      <c r="Y12" s="191">
        <v>83</v>
      </c>
      <c r="Z12" s="181">
        <v>117</v>
      </c>
      <c r="AA12" s="181">
        <v>110</v>
      </c>
      <c r="AB12" s="181">
        <v>84</v>
      </c>
      <c r="AC12" s="183">
        <v>0</v>
      </c>
      <c r="AD12" s="183">
        <v>0</v>
      </c>
      <c r="AE12" s="183">
        <v>0</v>
      </c>
      <c r="AF12" s="189">
        <v>0</v>
      </c>
      <c r="AG12" s="202">
        <v>75</v>
      </c>
      <c r="AH12" s="183">
        <v>105</v>
      </c>
      <c r="AI12" s="183">
        <v>91</v>
      </c>
      <c r="AJ12" s="203">
        <v>89</v>
      </c>
      <c r="AK12" s="182">
        <v>0</v>
      </c>
      <c r="AL12" s="183">
        <v>0</v>
      </c>
      <c r="AM12" s="183">
        <v>0</v>
      </c>
      <c r="AN12" s="189">
        <v>0</v>
      </c>
      <c r="AO12" s="259">
        <v>5</v>
      </c>
      <c r="AP12" s="155">
        <v>5</v>
      </c>
      <c r="AQ12" s="155">
        <v>5</v>
      </c>
      <c r="AR12" s="154">
        <v>5</v>
      </c>
      <c r="AS12" s="340" t="s">
        <v>801</v>
      </c>
      <c r="AT12" s="203"/>
      <c r="AU12" s="202"/>
      <c r="AV12" s="203"/>
      <c r="AW12" s="202"/>
      <c r="AX12" s="203"/>
      <c r="AY12" s="126">
        <f t="shared" si="1"/>
        <v>3561</v>
      </c>
      <c r="AZ12" s="127">
        <f t="shared" si="1"/>
        <v>1022</v>
      </c>
      <c r="BA12" s="127">
        <f t="shared" si="1"/>
        <v>988</v>
      </c>
      <c r="BB12" s="127">
        <f t="shared" si="1"/>
        <v>3595</v>
      </c>
      <c r="BC12" s="125">
        <f>IF(ISNUMBER(X12),X12," - ")</f>
        <v>417</v>
      </c>
      <c r="BD12" s="126">
        <f t="shared" si="2"/>
        <v>0.9667318982387475</v>
      </c>
      <c r="BE12" s="127">
        <f t="shared" si="3"/>
        <v>3.6386639676113361</v>
      </c>
      <c r="BF12" s="127">
        <f t="shared" si="4"/>
        <v>0.42206477732793524</v>
      </c>
      <c r="BG12" s="196">
        <f t="shared" si="5"/>
        <v>4.6386639676113361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4710</v>
      </c>
      <c r="J13" s="184">
        <f t="shared" si="6"/>
        <v>2268</v>
      </c>
      <c r="K13" s="184">
        <f t="shared" si="6"/>
        <v>1185</v>
      </c>
      <c r="L13" s="184">
        <f t="shared" si="6"/>
        <v>5793</v>
      </c>
      <c r="M13" s="184">
        <f t="shared" si="6"/>
        <v>435</v>
      </c>
      <c r="N13" s="184">
        <f t="shared" si="6"/>
        <v>421</v>
      </c>
      <c r="O13" s="184">
        <f t="shared" si="6"/>
        <v>413</v>
      </c>
      <c r="P13" s="184">
        <f t="shared" si="6"/>
        <v>173</v>
      </c>
      <c r="Q13" s="184">
        <f t="shared" si="6"/>
        <v>333</v>
      </c>
      <c r="R13" s="184">
        <f t="shared" si="6"/>
        <v>4196</v>
      </c>
      <c r="S13" s="184">
        <f t="shared" si="6"/>
        <v>3493</v>
      </c>
      <c r="T13" s="184">
        <f t="shared" si="6"/>
        <v>924</v>
      </c>
      <c r="U13" s="184">
        <f t="shared" si="6"/>
        <v>902</v>
      </c>
      <c r="V13" s="184">
        <f t="shared" si="6"/>
        <v>3515</v>
      </c>
      <c r="W13" s="184">
        <f t="shared" si="6"/>
        <v>316</v>
      </c>
      <c r="X13" s="184">
        <f t="shared" si="6"/>
        <v>418</v>
      </c>
      <c r="Y13" s="184">
        <f t="shared" si="6"/>
        <v>83</v>
      </c>
      <c r="Z13" s="184">
        <f t="shared" si="6"/>
        <v>117</v>
      </c>
      <c r="AA13" s="184">
        <f t="shared" si="6"/>
        <v>110</v>
      </c>
      <c r="AB13" s="184">
        <f t="shared" si="6"/>
        <v>84</v>
      </c>
      <c r="AC13" s="184">
        <f t="shared" si="6"/>
        <v>0</v>
      </c>
      <c r="AD13" s="184">
        <f t="shared" si="6"/>
        <v>0</v>
      </c>
      <c r="AE13" s="184">
        <f t="shared" si="6"/>
        <v>0</v>
      </c>
      <c r="AF13" s="184">
        <f>SUBTOTAL(9,AF9:AF12)</f>
        <v>0</v>
      </c>
      <c r="AG13" s="184">
        <f t="shared" ref="AG13:AT13" si="7">SUBTOTAL(9,AG8:AG12)</f>
        <v>75</v>
      </c>
      <c r="AH13" s="184">
        <f t="shared" si="7"/>
        <v>105</v>
      </c>
      <c r="AI13" s="184">
        <f t="shared" si="7"/>
        <v>91</v>
      </c>
      <c r="AJ13" s="184">
        <f t="shared" si="7"/>
        <v>89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3568</v>
      </c>
      <c r="AZ13" s="184">
        <f>SUBTOTAL(9,AZ8:AZ12)</f>
        <v>1029</v>
      </c>
      <c r="BA13" s="184">
        <f>SUBTOTAL(9,BA8:BA12)</f>
        <v>993</v>
      </c>
      <c r="BB13" s="184">
        <f>SUBTOTAL(9,BB8:BB12)</f>
        <v>3604</v>
      </c>
      <c r="BC13" s="184">
        <f>SUBTOTAL(9,BC8:BC12)</f>
        <v>420</v>
      </c>
      <c r="BD13" s="205">
        <f>IF(ISNUMBER(BA13/AZ13),BA13/AZ13," - ")</f>
        <v>0.96501457725947526</v>
      </c>
      <c r="BE13" s="206">
        <f>IF(ISNUMBER(BB13/BA13),BB13/BA13, " - ")</f>
        <v>3.6294058408862035</v>
      </c>
      <c r="BF13" s="206">
        <f>IF(ISNUMBER(BC13/BA13),BC13/BA13, " - ")</f>
        <v>0.42296072507552868</v>
      </c>
      <c r="BG13" s="207">
        <f>IF(ISNUMBER((AY13+AZ13)/BA13),(AY13+AZ13)/BA13," - ")</f>
        <v>4.6294058408862035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2197</v>
      </c>
      <c r="J16" s="183">
        <v>1765</v>
      </c>
      <c r="K16" s="183">
        <v>1580</v>
      </c>
      <c r="L16" s="183">
        <v>2382</v>
      </c>
      <c r="M16" s="183">
        <v>142</v>
      </c>
      <c r="N16" s="183">
        <v>1067</v>
      </c>
      <c r="O16" s="181">
        <v>17</v>
      </c>
      <c r="P16" s="183">
        <v>20</v>
      </c>
      <c r="Q16" s="183">
        <v>19</v>
      </c>
      <c r="R16" s="183">
        <v>99</v>
      </c>
      <c r="S16" s="183">
        <v>2341</v>
      </c>
      <c r="T16" s="183">
        <v>2418</v>
      </c>
      <c r="U16" s="183">
        <v>2519</v>
      </c>
      <c r="V16" s="183">
        <v>2240</v>
      </c>
      <c r="W16" s="183">
        <v>153</v>
      </c>
      <c r="X16" s="189">
        <v>2115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2341</v>
      </c>
      <c r="AZ16" s="127">
        <f t="shared" si="9"/>
        <v>2418</v>
      </c>
      <c r="BA16" s="127">
        <f t="shared" si="9"/>
        <v>2519</v>
      </c>
      <c r="BB16" s="127">
        <f t="shared" si="9"/>
        <v>2240</v>
      </c>
      <c r="BC16" s="125">
        <f>IF(ISNUMBER(W16),W16," - ")</f>
        <v>153</v>
      </c>
      <c r="BD16" s="126">
        <f t="shared" ref="BD16" si="11">IF(ISNUMBER(BA16/AZ16),BA16/AZ16," - ")</f>
        <v>1.0417700578990901</v>
      </c>
      <c r="BE16" s="127">
        <f t="shared" ref="BE16" si="12">IF(ISNUMBER(BB16/BA16),BB16/BA16, " - ")</f>
        <v>0.88924176260420806</v>
      </c>
      <c r="BF16" s="127">
        <f t="shared" ref="BF16" si="13">IF(ISNUMBER(BC16/BA16),BC16/BA16, " - ")</f>
        <v>6.0738388249305282E-2</v>
      </c>
      <c r="BG16" s="196">
        <f t="shared" si="10"/>
        <v>1.889241762604208</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71</v>
      </c>
      <c r="J17" s="183">
        <v>134</v>
      </c>
      <c r="K17" s="183">
        <v>110</v>
      </c>
      <c r="L17" s="183">
        <v>95</v>
      </c>
      <c r="M17" s="183">
        <v>18</v>
      </c>
      <c r="N17" s="183">
        <v>79</v>
      </c>
      <c r="O17" s="183">
        <v>0</v>
      </c>
      <c r="P17" s="183">
        <v>6</v>
      </c>
      <c r="Q17" s="183">
        <v>0</v>
      </c>
      <c r="R17" s="183">
        <v>10</v>
      </c>
      <c r="S17" s="183">
        <v>68</v>
      </c>
      <c r="T17" s="183">
        <v>104</v>
      </c>
      <c r="U17" s="183">
        <v>111</v>
      </c>
      <c r="V17" s="183">
        <v>61</v>
      </c>
      <c r="W17" s="183">
        <v>20</v>
      </c>
      <c r="X17" s="189">
        <v>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68</v>
      </c>
      <c r="AZ17" s="129">
        <f t="shared" si="14"/>
        <v>104</v>
      </c>
      <c r="BA17" s="129">
        <f t="shared" si="14"/>
        <v>111</v>
      </c>
      <c r="BB17" s="129">
        <f t="shared" si="14"/>
        <v>61</v>
      </c>
      <c r="BC17" s="125">
        <f>IF(ISNUMBER(W17),W17," - ")</f>
        <v>20</v>
      </c>
      <c r="BD17" s="126">
        <f>IF(ISNUMBER(BA17/AZ17),BA17/AZ17," - ")</f>
        <v>1.0673076923076923</v>
      </c>
      <c r="BE17" s="127">
        <f>IF(ISNUMBER(BB17/BA17),BB17/BA17, " - ")</f>
        <v>0.5495495495495496</v>
      </c>
      <c r="BF17" s="127">
        <f>IF(ISNUMBER(BC17/BA17),BC17/BA17, " - ")</f>
        <v>0.18018018018018017</v>
      </c>
      <c r="BG17" s="196">
        <f>IF(ISNUMBER((AY17+AZ17)/BA17),(AY17+AZ17)/BA17," - ")</f>
        <v>1.5495495495495495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2268</v>
      </c>
      <c r="J18" s="184">
        <f t="shared" si="15"/>
        <v>1899</v>
      </c>
      <c r="K18" s="184">
        <f t="shared" si="15"/>
        <v>1690</v>
      </c>
      <c r="L18" s="184">
        <f t="shared" si="15"/>
        <v>2477</v>
      </c>
      <c r="M18" s="184">
        <f t="shared" si="15"/>
        <v>160</v>
      </c>
      <c r="N18" s="184">
        <f t="shared" si="15"/>
        <v>1146</v>
      </c>
      <c r="O18" s="184">
        <f t="shared" si="15"/>
        <v>17</v>
      </c>
      <c r="P18" s="184">
        <f t="shared" si="15"/>
        <v>26</v>
      </c>
      <c r="Q18" s="184">
        <f t="shared" si="15"/>
        <v>19</v>
      </c>
      <c r="R18" s="184">
        <f t="shared" si="15"/>
        <v>109</v>
      </c>
      <c r="S18" s="184">
        <f t="shared" si="15"/>
        <v>2409</v>
      </c>
      <c r="T18" s="184">
        <f t="shared" si="15"/>
        <v>2522</v>
      </c>
      <c r="U18" s="184">
        <f t="shared" si="15"/>
        <v>2630</v>
      </c>
      <c r="V18" s="184">
        <f t="shared" si="15"/>
        <v>2301</v>
      </c>
      <c r="W18" s="184">
        <f t="shared" si="15"/>
        <v>173</v>
      </c>
      <c r="X18" s="184">
        <f t="shared" si="15"/>
        <v>2188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2409</v>
      </c>
      <c r="AZ18" s="184">
        <f>SUBTOTAL(9,AZ14:AZ17)</f>
        <v>2522</v>
      </c>
      <c r="BA18" s="184">
        <f>SUBTOTAL(9,BA14:BA17)</f>
        <v>2630</v>
      </c>
      <c r="BB18" s="184">
        <f>SUBTOTAL(9,BB14:BB17)</f>
        <v>2301</v>
      </c>
      <c r="BC18" s="184">
        <f>SUBTOTAL(9,BC14:BC17)</f>
        <v>173</v>
      </c>
      <c r="BD18" s="205">
        <f>IF(ISNUMBER(BA18/AZ18),BA18/AZ18," - ")</f>
        <v>1.0428231562252182</v>
      </c>
      <c r="BE18" s="206">
        <f>IF(ISNUMBER(BB18/BA18),BB18/BA18, " - ")</f>
        <v>0.87490494296577948</v>
      </c>
      <c r="BF18" s="206">
        <f>IF(ISNUMBER(BC18/BA18),BC18/BA18, " - ")</f>
        <v>6.5779467680608369E-2</v>
      </c>
      <c r="BG18" s="207">
        <f>IF(ISNUMBER((AY18+AZ18)/BA18),(AY18+AZ18)/BA18," - ")</f>
        <v>1.8749049429657794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6978</v>
      </c>
      <c r="J19" s="134">
        <f t="shared" si="18"/>
        <v>4167</v>
      </c>
      <c r="K19" s="134">
        <f t="shared" si="18"/>
        <v>2875</v>
      </c>
      <c r="L19" s="134">
        <f t="shared" si="18"/>
        <v>8270</v>
      </c>
      <c r="M19" s="134">
        <f t="shared" si="18"/>
        <v>595</v>
      </c>
      <c r="N19" s="134">
        <f t="shared" si="18"/>
        <v>1567</v>
      </c>
      <c r="O19" s="134">
        <f t="shared" si="18"/>
        <v>430</v>
      </c>
      <c r="P19" s="134">
        <f t="shared" si="18"/>
        <v>199</v>
      </c>
      <c r="Q19" s="134">
        <f t="shared" si="18"/>
        <v>352</v>
      </c>
      <c r="R19" s="134">
        <f t="shared" si="18"/>
        <v>4305</v>
      </c>
      <c r="S19" s="134">
        <f t="shared" si="18"/>
        <v>5902</v>
      </c>
      <c r="T19" s="134">
        <f t="shared" si="18"/>
        <v>3446</v>
      </c>
      <c r="U19" s="134">
        <f t="shared" si="18"/>
        <v>3532</v>
      </c>
      <c r="V19" s="134">
        <f t="shared" si="18"/>
        <v>5816</v>
      </c>
      <c r="W19" s="134">
        <f t="shared" si="18"/>
        <v>489</v>
      </c>
      <c r="X19" s="134">
        <f t="shared" si="18"/>
        <v>2606</v>
      </c>
      <c r="Y19" s="134">
        <f t="shared" si="18"/>
        <v>83</v>
      </c>
      <c r="Z19" s="134">
        <f t="shared" si="18"/>
        <v>117</v>
      </c>
      <c r="AA19" s="134">
        <f t="shared" si="18"/>
        <v>110</v>
      </c>
      <c r="AB19" s="134">
        <f t="shared" si="18"/>
        <v>84</v>
      </c>
      <c r="AC19" s="134">
        <f t="shared" si="18"/>
        <v>0</v>
      </c>
      <c r="AD19" s="134">
        <f t="shared" si="18"/>
        <v>0</v>
      </c>
      <c r="AE19" s="134">
        <f t="shared" si="18"/>
        <v>0</v>
      </c>
      <c r="AF19" s="134">
        <f t="shared" si="18"/>
        <v>0</v>
      </c>
      <c r="AG19" s="134">
        <f t="shared" si="18"/>
        <v>75</v>
      </c>
      <c r="AH19" s="134">
        <f t="shared" si="18"/>
        <v>105</v>
      </c>
      <c r="AI19" s="134">
        <f t="shared" si="18"/>
        <v>91</v>
      </c>
      <c r="AJ19" s="134">
        <f t="shared" si="18"/>
        <v>89</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5977</v>
      </c>
      <c r="AZ19" s="134">
        <f>SUBTOTAL(9,AZ9:AZ18)</f>
        <v>3551</v>
      </c>
      <c r="BA19" s="134">
        <f>SUBTOTAL(9,BA9:BA18)</f>
        <v>3623</v>
      </c>
      <c r="BB19" s="134">
        <f>SUBTOTAL(9,BB9:BB18)</f>
        <v>5905</v>
      </c>
      <c r="BC19" s="135">
        <f>SUBTOTAL(9,BC9:BC18)</f>
        <v>593</v>
      </c>
      <c r="BD19" s="213">
        <f>IF(ISNUMBER(BA19/AZ19),BA19/AZ19," - ")</f>
        <v>1.0202759785975781</v>
      </c>
      <c r="BE19" s="210">
        <f>IF(ISNUMBER(BB19/BA19),BB19/BA19, " - ")</f>
        <v>1.6298647529671544</v>
      </c>
      <c r="BF19" s="210">
        <f>IF(ISNUMBER(BC19/BA19),BC19/BA19, " - ")</f>
        <v>0.16367651117858129</v>
      </c>
      <c r="BG19" s="135">
        <f>IF(ISNUMBER((AY19+AZ19)/BA19),(AY19+AZ19)/BA19," - ")</f>
        <v>2.6298647529671544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pFShX8AgOXzeZFiTT0k1Mn7bOcXPW0nNtfJSe4SxyzjBFDtsNnEOlPgnBnP6FKIg6Wm1iBZNDtbi5dpOsYFxA==" saltValue="ZlRcN+o8KJsNR+w9PM8Nh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AfF0dx3siCoYnqfPz2RDjc6oglvI6wzuiDh2e89RPgIpV7nh6x6LE+jr8vkvfpUdW34SDLZa2hD4soqpSaEQg==" saltValue="DulfLS/2DlCBqT9bAnQKm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VELEZ-MALAGA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117</v>
      </c>
      <c r="O12" s="334"/>
      <c r="P12" s="334"/>
      <c r="Q12" s="226">
        <f>IF(ISNUMBER(Datos!P12),Datos!P12,0)</f>
        <v>173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84</v>
      </c>
      <c r="AI12" s="334" t="str">
        <f>IF(ISNUMBER(Datos!CD12),Datos!CD12,"-")</f>
        <v>-</v>
      </c>
      <c r="AJ12" s="334" t="str">
        <f>IF(ISNUMBER(Datos!EN12),Datos!EN12," - ")</f>
        <v xml:space="preserve"> - </v>
      </c>
      <c r="AK12" s="334"/>
      <c r="AL12" s="479"/>
      <c r="AM12" s="335">
        <f>IF(ISNUMBER(Datos!R12),Datos!R12," - ")</f>
        <v>4196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431</v>
      </c>
      <c r="BD12" s="229">
        <f>IF(ISNUMBER(Datos!N12),Datos!N12," - ")</f>
        <v>421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0.54220915581688367</v>
      </c>
      <c r="BH12" s="260">
        <f>IF(ISNUMBER(((IF(J_V="SI",Datos!L12/Datos!K12,(Datos!L12+Datos!AB12)/(Datos!K12+Datos!AA12)))*11)/factor_trimestre),((IF(J_V="SI",Datos!L12/Datos!K12,(Datos!L12+Datos!AB12)/(Datos!K12+Datos!AA12)))*11)/factor_trimestre," - ")</f>
        <v>13.64291247095275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-3.6730945821854911E-2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117</v>
      </c>
      <c r="O13" s="900">
        <f t="shared" si="0"/>
        <v>0</v>
      </c>
      <c r="P13" s="900">
        <f t="shared" si="0"/>
        <v>0</v>
      </c>
      <c r="Q13" s="899">
        <f t="shared" si="0"/>
        <v>173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333</v>
      </c>
      <c r="AD13" s="899">
        <f t="shared" si="1"/>
        <v>0</v>
      </c>
      <c r="AE13" s="899">
        <f t="shared" si="1"/>
        <v>0</v>
      </c>
      <c r="AF13" s="899">
        <f t="shared" si="1"/>
        <v>6</v>
      </c>
      <c r="AG13" s="899">
        <f t="shared" si="1"/>
        <v>0</v>
      </c>
      <c r="AH13" s="899">
        <f t="shared" si="1"/>
        <v>84</v>
      </c>
      <c r="AI13" s="899">
        <f t="shared" si="1"/>
        <v>0</v>
      </c>
      <c r="AJ13" s="899">
        <f t="shared" si="1"/>
        <v>0</v>
      </c>
      <c r="AK13" s="899">
        <f t="shared" si="1"/>
        <v>0</v>
      </c>
      <c r="AL13" s="899">
        <f t="shared" si="1"/>
        <v>0</v>
      </c>
      <c r="AM13" s="899">
        <f t="shared" si="1"/>
        <v>4196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435</v>
      </c>
      <c r="BD13" s="899">
        <f t="shared" si="1"/>
        <v>421</v>
      </c>
      <c r="BE13" s="899">
        <f t="shared" si="1"/>
        <v>0</v>
      </c>
      <c r="BF13" s="899">
        <f t="shared" si="1"/>
        <v>0</v>
      </c>
      <c r="BG13" s="899">
        <f>IF(ISNUMBER(Datos!K13/Datos!J13),Datos!K13/Datos!J13," - ")</f>
        <v>0.52248677248677244</v>
      </c>
      <c r="BH13" s="903">
        <f>IF(ISNUMBER(((Datos!L13/Datos!K13)*11)/factor_trimestre),((Datos!L13/Datos!K13)*11)/factor_trimestre," - ")</f>
        <v>14.665822784810127</v>
      </c>
      <c r="BI13" s="899">
        <f>IF(ISNUMBER('Resol  Asuntos'!D13/NºAsuntos!G13),'Resol  Asuntos'!D13/NºAsuntos!G13," - ")</f>
        <v>0.3359073359073359</v>
      </c>
      <c r="BJ13" s="899" t="str">
        <f>IF(ISNUMBER(Datos!CI13/Datos!CJ13),Datos!CI13/Datos!CJ13," - ")</f>
        <v xml:space="preserve"> - </v>
      </c>
      <c r="BK13" s="899">
        <f>SUBTOTAL(9,BK8:BK12)</f>
        <v>0</v>
      </c>
      <c r="BL13" s="899">
        <f>IF(ISNUMBER((I13-AB13+L13)/(F13)),(I13-AB13+L13)/(F13)," - ")</f>
        <v>-0.66666666666666663</v>
      </c>
      <c r="BM13" s="904">
        <f>SUBTOTAL(9,BM9:BM12)</f>
        <v>-3.6730945821854911E-2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2197</v>
      </c>
      <c r="G16" s="598">
        <f>IF(ISNUMBER(IF(D_I="SI",Datos!I16,Datos!I16+Datos!AC16)),IF(D_I="SI",Datos!I16,Datos!I16+Datos!AC16)," - ")</f>
        <v>2197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1580</v>
      </c>
      <c r="AC16" s="226">
        <f>IF(ISNUMBER(Datos!Q16),Datos!Q16," - ")</f>
        <v>19</v>
      </c>
      <c r="AD16" s="334"/>
      <c r="AE16" s="484"/>
      <c r="AF16" s="596">
        <f>IF(ISNUMBER(IF(D_I="SI",Datos!L16,Datos!L16+Datos!AF16)),IF(D_I="SI",Datos!L16,Datos!L16+Datos!AF16)," - ")</f>
        <v>2382</v>
      </c>
      <c r="AG16" s="334"/>
      <c r="AH16" s="334"/>
      <c r="AI16" s="334"/>
      <c r="AJ16" s="334"/>
      <c r="AK16" s="334"/>
      <c r="AL16" s="479"/>
      <c r="AM16" s="335">
        <f>IF(ISNUMBER(Datos!R16),Datos!R16," - ")</f>
        <v>99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142</v>
      </c>
      <c r="BD16" s="229">
        <f>IF(ISNUMBER(Datos!N16),Datos!N16," - ")</f>
        <v>1067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0.89518413597733715</v>
      </c>
      <c r="BH16" s="260">
        <f>IF(ISNUMBER(((IF(D_I="SI",Datos!L16/Datos!K16,(Datos!L16+Datos!AF16)/(Datos!K16+Datos!AE16)))*11)/factor_trimestre),((IF(D_I="SI",Datos!L16/Datos!K16,(Datos!L16+Datos!AF16)/(Datos!K16+Datos!AE16)))*11)/factor_trimestre," - ")</f>
        <v>4.5227848101265824</v>
      </c>
      <c r="BI16" s="243">
        <f>IF(ISNUMBER('Resol  Asuntos'!D16/NºAsuntos!G16),'Resol  Asuntos'!D16/NºAsuntos!G16," - ")</f>
        <v>8.9873417721518981E-2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110</v>
      </c>
      <c r="AC17" s="226">
        <f>IF(ISNUMBER(Datos!Q17),Datos!Q17," - ")</f>
        <v>0</v>
      </c>
      <c r="AD17" s="334"/>
      <c r="AE17" s="484"/>
      <c r="AF17" s="332">
        <f>IF(ISNUMBER(Datos!L17),Datos!L17,"-")</f>
        <v>95</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79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0.82089552238805974</v>
      </c>
      <c r="BH17" s="260">
        <f>IF(ISNUMBER(((IF(D_I="SI",Datos!L17/Datos!K17,(Datos!L17+Datos!AF17)/(Datos!K17+Datos!AE17)))*11)/factor_trimestre),((IF(D_I="SI",Datos!L17/Datos!K17,(Datos!L17+Datos!AF17)/(Datos!K17+Datos!AE17)))*11)/factor_trimestre," - ")</f>
        <v>2.5909090909090908</v>
      </c>
      <c r="BI17" s="243">
        <f>IF(ISNUMBER('Resol  Asuntos'!D17/NºAsuntos!G17),'Resol  Asuntos'!D17/NºAsuntos!G17," - ")</f>
        <v>0.16363636363636364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2197</v>
      </c>
      <c r="G18" s="898">
        <f>SUBTOTAL(9,G15:G17)</f>
        <v>2268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1690</v>
      </c>
      <c r="AC18" s="899">
        <f t="shared" si="4"/>
        <v>19</v>
      </c>
      <c r="AD18" s="899">
        <f t="shared" si="4"/>
        <v>0</v>
      </c>
      <c r="AE18" s="899">
        <f t="shared" si="4"/>
        <v>0</v>
      </c>
      <c r="AF18" s="899">
        <f t="shared" si="4"/>
        <v>2477</v>
      </c>
      <c r="AG18" s="899">
        <f t="shared" si="4"/>
        <v>0</v>
      </c>
      <c r="AH18" s="899">
        <f t="shared" si="4"/>
        <v>0</v>
      </c>
      <c r="AI18" s="899">
        <f t="shared" si="4"/>
        <v>0</v>
      </c>
      <c r="AJ18" s="899">
        <f t="shared" si="4"/>
        <v>0</v>
      </c>
      <c r="AK18" s="899">
        <f t="shared" si="4"/>
        <v>0</v>
      </c>
      <c r="AL18" s="899">
        <f t="shared" si="4"/>
        <v>0</v>
      </c>
      <c r="AM18" s="899">
        <f t="shared" si="4"/>
        <v>109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160</v>
      </c>
      <c r="BD18" s="899">
        <f t="shared" si="4"/>
        <v>1146</v>
      </c>
      <c r="BE18" s="899">
        <f t="shared" si="4"/>
        <v>0</v>
      </c>
      <c r="BF18" s="899">
        <f t="shared" si="4"/>
        <v>0</v>
      </c>
      <c r="BG18" s="899">
        <f>IF(ISNUMBER(Datos!K18/Datos!J18),Datos!K18/Datos!J18," - ")</f>
        <v>0.88994207477619802</v>
      </c>
      <c r="BH18" s="903">
        <f>IF(ISNUMBER(((Datos!L18/Datos!K18)*11)/factor_trimestre),((Datos!L18/Datos!K18)*11)/factor_trimestre," - ")</f>
        <v>4.3970414201183434</v>
      </c>
      <c r="BI18" s="899">
        <f>SUBTOTAL(9,BI15:BI17)</f>
        <v>0.2535097813578826</v>
      </c>
      <c r="BJ18" s="899">
        <f>SUBTOTAL(9,BJ15:BJ17)</f>
        <v>0</v>
      </c>
      <c r="BK18" s="899">
        <f>SUBTOTAL(9,BK15:BK17)</f>
        <v>0</v>
      </c>
      <c r="BL18" s="899">
        <f>IF(ISNUMBER((I18-AB18+L18)/(F18)),(I18-AB18+L18)/(F18)," - ")</f>
        <v>-0.76923076923076927</v>
      </c>
      <c r="BM18" s="905">
        <f>IF(ISNUMBER((Datos!P18-Datos!Q18)/(Datos!R18-Datos!P18+Datos!Q18)),(Datos!P18-Datos!Q18)/(Datos!R18-Datos!P18+Datos!Q18)," - ")</f>
        <v>6.8627450980392163E-2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2203</v>
      </c>
      <c r="G19" s="820">
        <f t="shared" si="6"/>
        <v>2274</v>
      </c>
      <c r="H19" s="822">
        <f t="shared" si="6"/>
        <v>0</v>
      </c>
      <c r="I19" s="820">
        <f t="shared" si="6"/>
        <v>0</v>
      </c>
      <c r="J19" s="822">
        <f t="shared" si="6"/>
        <v>0</v>
      </c>
      <c r="K19" s="822">
        <f t="shared" si="6"/>
        <v>0</v>
      </c>
      <c r="L19" s="881">
        <f t="shared" si="6"/>
        <v>0</v>
      </c>
      <c r="M19" s="881">
        <f t="shared" si="6"/>
        <v>0</v>
      </c>
      <c r="N19" s="881">
        <f t="shared" si="6"/>
        <v>117</v>
      </c>
      <c r="O19" s="881">
        <f t="shared" si="6"/>
        <v>0</v>
      </c>
      <c r="P19" s="881">
        <f t="shared" si="6"/>
        <v>0</v>
      </c>
      <c r="Q19" s="822">
        <f t="shared" si="6"/>
        <v>199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1694</v>
      </c>
      <c r="AC19" s="821">
        <f t="shared" si="7"/>
        <v>352</v>
      </c>
      <c r="AD19" s="821">
        <f t="shared" si="7"/>
        <v>0</v>
      </c>
      <c r="AE19" s="821">
        <f t="shared" si="7"/>
        <v>0</v>
      </c>
      <c r="AF19" s="828">
        <f t="shared" si="7"/>
        <v>2483</v>
      </c>
      <c r="AG19" s="828">
        <f t="shared" si="7"/>
        <v>0</v>
      </c>
      <c r="AH19" s="828">
        <f t="shared" si="7"/>
        <v>84</v>
      </c>
      <c r="AI19" s="828">
        <f t="shared" si="7"/>
        <v>0</v>
      </c>
      <c r="AJ19" s="821">
        <f t="shared" si="7"/>
        <v>0</v>
      </c>
      <c r="AK19" s="828">
        <f t="shared" si="7"/>
        <v>0</v>
      </c>
      <c r="AL19" s="828">
        <f t="shared" si="7"/>
        <v>0</v>
      </c>
      <c r="AM19" s="828">
        <f t="shared" si="7"/>
        <v>4305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595</v>
      </c>
      <c r="BD19" s="820">
        <f t="shared" si="7"/>
        <v>1567</v>
      </c>
      <c r="BE19" s="820">
        <f t="shared" si="7"/>
        <v>0</v>
      </c>
      <c r="BF19" s="830">
        <f t="shared" si="7"/>
        <v>0</v>
      </c>
      <c r="BG19" s="915">
        <f>IF(ISNUMBER(Datos!K19/Datos!J19),Datos!K19/Datos!J19," - ")</f>
        <v>0.68994480441564676</v>
      </c>
      <c r="BH19" s="915">
        <f>IF(ISNUMBER(((Datos!L19/Datos!K19)*11)/factor_trimestre),((Datos!L19/Datos!K19)*11)/factor_trimestre," - ")</f>
        <v>8.6295652173913062</v>
      </c>
      <c r="BI19" s="813">
        <f>IF(ISNUMBER(Datos!J19/Datos!I19),Datos!J19/Datos!I19," - ")</f>
        <v>0.59716251074806537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-0.76895142986836129</v>
      </c>
      <c r="BM19" s="889">
        <f>IF(ISNUMBER((Datos!P19-Datos!Q19+R19)/(Datos!R19-Datos!P19+Datos!Q19-R19)),(Datos!P19-Datos!Q19+R19)/(Datos!R19-Datos!P19+Datos!Q19-R19)," - ")</f>
        <v>-3.4320323014804845E-2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909.6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1264.9744397944701</v>
      </c>
      <c r="G21" s="552">
        <f>IF(ISNUMBER(STDEV(G8:G18)),STDEV(G8:G18),"-")</f>
        <v>1208.1892649746562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875.91711936689535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192.39196102401647</v>
      </c>
      <c r="BD21" s="551"/>
      <c r="BE21" s="551">
        <f>IF(ISNUMBER(STDEV(BE8:BE18)),STDEV(BE8:BE18),"-")</f>
        <v>0</v>
      </c>
      <c r="BF21" s="556">
        <f>IF(ISNUMBER(STDEV(BF8:BF18)),STDEV(BF8:BF18),"-")</f>
        <v>0</v>
      </c>
      <c r="BG21" s="775">
        <f>IF(ISNUMBER(STDEV(BG8:BG18)),STDEV(BG8:BG18),"-")</f>
        <v>0.19913326008400756</v>
      </c>
      <c r="BH21" s="776">
        <f>IF(ISNUMBER(STDEV(BH8:BH18)),STDEV(BH8:BH18),"-")</f>
        <v>5.3028018798016019</v>
      </c>
      <c r="BI21" s="249">
        <f>IF(ISNUMBER(STDEV(BI8:BI18)),STDEV(BI8:BI18),"-")</f>
        <v>0.10696354390160874</v>
      </c>
      <c r="BJ21" s="230" t="str">
        <f>IF(ISNUMBER(BL21/BM21),BL21/BM21," - ")</f>
        <v xml:space="preserve"> - </v>
      </c>
      <c r="BK21" s="575"/>
      <c r="BL21" s="559">
        <f>IF(ISNUMBER(STDEV(BL8:BL18)),STDEV(BL8:BL18),"-")</f>
        <v>7.2523772429389552E-2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3HIGCTk5SQiI1A+3elOJMa6SumlO6tEG2s8uRYdg39ECoY64+1XS+aAEnWwwnlivFV90bXrd2NgqcwKxxd/pLg==" saltValue="XkNDhD8G7OOgAwBBg12P8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VELEZ-MALAGA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333</v>
      </c>
      <c r="AA12" s="332" t="str">
        <f>IF(ISNUMBER(IF(J_V="SI",Datos!L12,Datos!L12+Datos!AB12)-IF(Monitorios="SI",Datos!CD12,0)),
                          IF(J_V="SI",Datos!L12,Datos!L12+Datos!AB12)-IF(Monitorios="SI",Datos!CD12,0),
                          " - ")</f>
        <v xml:space="preserve"> - </v>
      </c>
      <c r="AB12" s="334"/>
      <c r="AC12" s="334"/>
      <c r="AD12" s="484"/>
      <c r="AE12" s="484">
        <f>IF(ISNUMBER(Datos!R12),Datos!R12," - ")</f>
        <v>4196</v>
      </c>
      <c r="AF12" s="229" t="str">
        <f>IF(ISNUMBER(Datos!BV12),Datos!BV12," - ")</f>
        <v xml:space="preserve"> - </v>
      </c>
      <c r="AG12" s="225" t="str">
        <f>IF(ISNUMBER(Datos!DV12),Datos!DV12," - ")</f>
        <v xml:space="preserve"> - </v>
      </c>
      <c r="AH12" s="298"/>
      <c r="AI12" s="227"/>
      <c r="AJ12" s="225">
        <f>IF(ISNUMBER(Datos!M12),Datos!M12," - ")</f>
        <v>431</v>
      </c>
      <c r="AK12" s="229">
        <f>IF(ISNUMBER(Datos!N12),Datos!N12," - ")</f>
        <v>421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13.64291247095275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-3.6730945821854911E-2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333</v>
      </c>
      <c r="AA13" s="900">
        <f t="shared" si="2"/>
        <v>6</v>
      </c>
      <c r="AB13" s="900">
        <f t="shared" si="2"/>
        <v>0</v>
      </c>
      <c r="AC13" s="900">
        <f t="shared" si="2"/>
        <v>0</v>
      </c>
      <c r="AD13" s="900">
        <f t="shared" si="2"/>
        <v>0</v>
      </c>
      <c r="AE13" s="900">
        <f t="shared" si="2"/>
        <v>4196</v>
      </c>
      <c r="AF13" s="908">
        <f t="shared" si="2"/>
        <v>0</v>
      </c>
      <c r="AG13" s="908">
        <f t="shared" si="2"/>
        <v>0</v>
      </c>
      <c r="AH13" s="908">
        <f t="shared" si="2"/>
        <v>0</v>
      </c>
      <c r="AI13" s="908">
        <f t="shared" si="2"/>
        <v>0</v>
      </c>
      <c r="AJ13" s="908">
        <f t="shared" si="2"/>
        <v>435</v>
      </c>
      <c r="AK13" s="908">
        <f t="shared" si="2"/>
        <v>421</v>
      </c>
      <c r="AL13" s="908">
        <f t="shared" si="2"/>
        <v>0</v>
      </c>
      <c r="AM13" s="908">
        <f t="shared" si="2"/>
        <v>0</v>
      </c>
      <c r="AN13" s="908">
        <f t="shared" si="2"/>
        <v>0</v>
      </c>
      <c r="AO13" s="904">
        <f>IF(ISNUMBER(((NºAsuntos!I13/NºAsuntos!G13)*11)/factor_trimestre),((NºAsuntos!I13/NºAsuntos!G13)*11)/factor_trimestre," - ")</f>
        <v>13.614671814671816</v>
      </c>
      <c r="AP13" s="910" t="str">
        <f>IF(ISNUMBER(Datos!CI13/Datos!CJ13),Datos!CI13/Datos!CJ13," - ")</f>
        <v xml:space="preserve"> - </v>
      </c>
      <c r="AQ13" s="928">
        <f t="shared" ref="AQ13:AV13" si="3">SUBTOTAL(9,AQ9:AQ12)</f>
        <v>0</v>
      </c>
      <c r="AR13" s="928">
        <f t="shared" si="3"/>
        <v>-3.6730945821854911E-2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2197</v>
      </c>
      <c r="G16" s="225">
        <f>IF(ISNUMBER(IF(D_I="SI",Datos!I16,Datos!I16+Datos!AC16)),IF(D_I="SI",Datos!I16,Datos!I16+Datos!AC16)," - ")</f>
        <v>2197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1580</v>
      </c>
      <c r="Z16" s="619">
        <f>IF(ISNUMBER(Datos!Q16),Datos!Q16," - ")</f>
        <v>19</v>
      </c>
      <c r="AA16" s="332">
        <f>IF(ISNUMBER(IF(D_I="SI",Datos!L16,Datos!L16+Datos!AF16)),IF(D_I="SI",Datos!L16,Datos!L16+Datos!AF16)," - ")</f>
        <v>2382</v>
      </c>
      <c r="AB16" s="334"/>
      <c r="AC16" s="334"/>
      <c r="AD16" s="484"/>
      <c r="AE16" s="484">
        <f>IF(ISNUMBER(Datos!R16),Datos!R16," - ")</f>
        <v>99</v>
      </c>
      <c r="AF16" s="229" t="str">
        <f>IF(ISNUMBER(Datos!BV16),Datos!BV16," - ")</f>
        <v xml:space="preserve"> - </v>
      </c>
      <c r="AG16" s="225"/>
      <c r="AH16" s="298"/>
      <c r="AI16" s="227"/>
      <c r="AJ16" s="225">
        <f>IF(ISNUMBER(Datos!M16),Datos!M16," - ")</f>
        <v>142</v>
      </c>
      <c r="AK16" s="229">
        <f>IF(ISNUMBER(Datos!N16),Datos!N16," - ")</f>
        <v>1067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4.5227848101265824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110</v>
      </c>
      <c r="Z17" s="619">
        <f>IF(ISNUMBER(Datos!Q17),Datos!Q17," - ")</f>
        <v>0</v>
      </c>
      <c r="AA17" s="332">
        <f>IF(ISNUMBER(Datos!L17),Datos!L17,"-")</f>
        <v>95</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18</v>
      </c>
      <c r="AK17" s="229">
        <f>IF(ISNUMBER(Datos!N17),Datos!N17," - ")</f>
        <v>79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2.5909090909090908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2197</v>
      </c>
      <c r="G18" s="898">
        <f>SUBTOTAL(9,G15:G17)</f>
        <v>2268</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1690</v>
      </c>
      <c r="Z18" s="932">
        <f t="shared" si="5"/>
        <v>19</v>
      </c>
      <c r="AA18" s="932">
        <f t="shared" si="5"/>
        <v>2477</v>
      </c>
      <c r="AB18" s="932">
        <f t="shared" si="5"/>
        <v>0</v>
      </c>
      <c r="AC18" s="932">
        <f t="shared" si="5"/>
        <v>0</v>
      </c>
      <c r="AD18" s="932">
        <f t="shared" si="5"/>
        <v>0</v>
      </c>
      <c r="AE18" s="932">
        <f t="shared" si="5"/>
        <v>109</v>
      </c>
      <c r="AF18" s="932">
        <f t="shared" si="5"/>
        <v>0</v>
      </c>
      <c r="AG18" s="932">
        <f t="shared" si="5"/>
        <v>0</v>
      </c>
      <c r="AH18" s="932">
        <f t="shared" si="5"/>
        <v>0</v>
      </c>
      <c r="AI18" s="932">
        <f t="shared" si="5"/>
        <v>0</v>
      </c>
      <c r="AJ18" s="932">
        <f t="shared" si="5"/>
        <v>160</v>
      </c>
      <c r="AK18" s="932">
        <f t="shared" si="5"/>
        <v>1146</v>
      </c>
      <c r="AL18" s="932">
        <f t="shared" si="5"/>
        <v>0</v>
      </c>
      <c r="AM18" s="932">
        <f t="shared" si="5"/>
        <v>0</v>
      </c>
      <c r="AN18" s="932">
        <f t="shared" si="5"/>
        <v>0</v>
      </c>
      <c r="AO18" s="934">
        <f>IF(ISNUMBER(((NºAsuntos!I18/NºAsuntos!G18)*11)/factor_trimestre),((NºAsuntos!I18/NºAsuntos!G18)*11)/factor_trimestre," - ")</f>
        <v>4.3970414201183434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2203</v>
      </c>
      <c r="G19" s="820">
        <f t="shared" si="7"/>
        <v>2274</v>
      </c>
      <c r="H19" s="821">
        <f t="shared" si="7"/>
        <v>0</v>
      </c>
      <c r="I19" s="820">
        <f t="shared" si="7"/>
        <v>0</v>
      </c>
      <c r="J19" s="822">
        <f t="shared" si="7"/>
        <v>0</v>
      </c>
      <c r="K19" s="820">
        <f t="shared" si="7"/>
        <v>0</v>
      </c>
      <c r="L19" s="823">
        <f t="shared" si="7"/>
        <v>0</v>
      </c>
      <c r="M19" s="820">
        <f t="shared" si="7"/>
        <v>0</v>
      </c>
      <c r="N19" s="821">
        <f t="shared" si="7"/>
        <v>199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1694</v>
      </c>
      <c r="Z19" s="827">
        <f t="shared" si="8"/>
        <v>352</v>
      </c>
      <c r="AA19" s="828">
        <f t="shared" si="8"/>
        <v>2483</v>
      </c>
      <c r="AB19" s="828">
        <f t="shared" si="8"/>
        <v>0</v>
      </c>
      <c r="AC19" s="828">
        <f t="shared" si="8"/>
        <v>0</v>
      </c>
      <c r="AD19" s="829">
        <f t="shared" si="8"/>
        <v>0</v>
      </c>
      <c r="AE19" s="829">
        <f t="shared" si="8"/>
        <v>4305</v>
      </c>
      <c r="AF19" s="830">
        <f t="shared" si="8"/>
        <v>0</v>
      </c>
      <c r="AG19" s="831">
        <f t="shared" si="8"/>
        <v>0</v>
      </c>
      <c r="AH19" s="832">
        <f t="shared" si="8"/>
        <v>0</v>
      </c>
      <c r="AI19" s="830">
        <f t="shared" si="8"/>
        <v>0</v>
      </c>
      <c r="AJ19" s="820">
        <f t="shared" si="8"/>
        <v>595</v>
      </c>
      <c r="AK19" s="820">
        <f t="shared" si="8"/>
        <v>1567</v>
      </c>
      <c r="AL19" s="820">
        <f t="shared" si="8"/>
        <v>0</v>
      </c>
      <c r="AM19" s="833">
        <f t="shared" si="8"/>
        <v>0</v>
      </c>
      <c r="AN19" s="823">
        <f>IF(ISNUMBER(Datos!K19/Datos!J19),Datos!K19/Datos!J19," - ")</f>
        <v>0.68994480441564676</v>
      </c>
      <c r="AO19" s="823">
        <f>IF(ISNUMBER(FIND("06",Criterios!A8,1)),(IF(ISNUMBER(((Datos!R19/Datos!Q19)*11)/factor_trimestre),((Datos!R19/Datos!Q19)*11)/factor_trimestre," - ")),(IF(ISNUMBER(((Datos!L19/Datos!K19)*11)/factor_trimestre),((Datos!L19/Datos!K19)*11)/factor_trimestre," - ")))</f>
        <v>8.6295652173913062</v>
      </c>
      <c r="AP19" s="834" t="str">
        <f>IF(ISNUMBER(Datos!CI19/Datos!CJ19),Datos!CI19/Datos!CJ19," - ")</f>
        <v xml:space="preserve"> - </v>
      </c>
      <c r="AQ19" s="834">
        <f>IF(OR(ISNUMBER(FIND("01",Criterios!A8,1)),ISNUMBER(FIND("02",Criterios!A8,1)),ISNUMBER(FIND("03",Criterios!A8,1)),ISNUMBER(FIND("04",Criterios!A8,1))),(J19-Y19+K19)/(F19-K19),(I19-Y19+K19)/(F19-K19))</f>
        <v>-0.76895142986836129</v>
      </c>
      <c r="AR19" s="834">
        <f>IF(ISNUMBER((Datos!P19-Datos!Q19+O19)/(Datos!R19-Datos!P19+Datos!Q19-O19)),(Datos!P19-Datos!Q19+O19)/(Datos!R19-Datos!P19+Datos!Q19-O19)," - ")</f>
        <v>-3.4320323014804845E-2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909.6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1264.9744397944701</v>
      </c>
      <c r="G21" s="552">
        <f>IF(ISNUMBER(STDEV(G8:G18)),STDEV(G8:G18),"-")</f>
        <v>1208.1892649746562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192.39196102401647</v>
      </c>
      <c r="AK21" s="252"/>
      <c r="AL21" s="252">
        <f>IF(ISNUMBER(STDEV(AL8:AL18)),STDEV(AL8:AL18),"-")</f>
        <v>0</v>
      </c>
      <c r="AM21" s="254">
        <f>IF(ISNUMBER(STDEV(AM8:AM18)),STDEV(AM8:AM18),"-")</f>
        <v>0</v>
      </c>
      <c r="AN21" s="539">
        <f>IF(ISNUMBER(STDEV(AN8:AN18)),STDEV(AN8:AN18),"-")</f>
        <v>0</v>
      </c>
      <c r="AO21" s="540">
        <f>IF(ISNUMBER(STDEV(AO8:AO18)),STDEV(AO8:AO18),"-")</f>
        <v>5.0242638197426954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0T+ZdN25JOl3g+xIGxMCQBteHswxXroSdB+AtHMrCwHV5w9L/7RSKb5s1TUVd9HpH8WJSnOtm4FuLpasBdAYzg==" saltValue="iVAEWSe2qoGmYYjmAy41N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lJCcMfvEEGV8A8CC7Q6gpELbRWbywDrVo8E34QG44XG/KJWwG8JYbvUgsY8SGMDlLp96Eu/GGGC6+lE0oAtsA==" saltValue="Mfp1rBYOyBSudprvZ58h2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fuy5yFwyX1jNxTctiUOe2hL/L2sVUJPxBPmQN6m676NSut3VSoPkB/B7XjqeiawRgYGtZA6e4PP2nIA27HhOQ==" saltValue="HvAFhWqo47OAvE3j5nWdJ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VELEZ-MALAGA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0.3359073359073359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0.23752235507038469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Fnqa3aOsOrYCY5BzMRul/jeCiaCWrBP42vAtgBufnD7rVHiesldhwArr+cMRtRZrrXKk/Gkia0D1+2IBrkAg==" saltValue="04ttLLfsz/Ri485qB9IIw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u+rZ5NifvQmXPlz7GXf5z/3FhElVi5hkeLz1OlEokpXQFYmVIMOyw5TBxau9uWpiYFZjHLEY3gt640Df6Mq1w==" saltValue="W8mX2mzWyrZeS2ziCZV8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VELEZ-MALAGA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4</v>
      </c>
      <c r="F10" s="404">
        <f>IF(ISNUMBER(E10/B10),E10/B10," - ")</f>
        <v>4</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4787</v>
      </c>
      <c r="D12" s="404">
        <f>IF(ISNUMBER(C12/Datos!BH12),C12/Datos!BH12," - ")</f>
        <v>957.4</v>
      </c>
      <c r="E12" s="403">
        <f>IF(ISNUMBER(IF(J_V="SI",Datos!J12,Datos!J12+Datos!Z12)),IF(J_V="SI",Datos!J12,Datos!J12+Datos!Z12)," - ")</f>
        <v>2381</v>
      </c>
      <c r="F12" s="404">
        <f>IF(ISNUMBER(E12/B12),E12/B12," - ")</f>
        <v>476.2</v>
      </c>
      <c r="G12" s="403">
        <f>IF(ISNUMBER(IF(J_V="SI",Datos!K12,Datos!K12+Datos!AA12)),IF(J_V="SI",Datos!K12,Datos!K12+Datos!AA12)," - ")</f>
        <v>1291</v>
      </c>
      <c r="H12" s="404">
        <f>IF(ISNUMBER(G12/B12),G12/B12," - ")</f>
        <v>258.2</v>
      </c>
      <c r="I12" s="403">
        <f>IF(ISNUMBER(IF(J_V="SI",Datos!L12,Datos!L12+Datos!AB12)),IF(J_V="SI",Datos!L12,Datos!L12+Datos!AB12)," - ")</f>
        <v>5871</v>
      </c>
      <c r="J12" s="404">
        <f>IF(ISNUMBER(I12/B12),I12/B12," - ")</f>
        <v>1174.2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4793</v>
      </c>
      <c r="D13" s="850" t="str">
        <f>IF(ISNUMBER(C13/Datos!BI13),C13/Datos!BI13," - ")</f>
        <v xml:space="preserve"> - </v>
      </c>
      <c r="E13" s="849">
        <f>SUBTOTAL(9,E8:E12)</f>
        <v>2385</v>
      </c>
      <c r="F13" s="850">
        <f>IF(ISNUMBER(E13/B13),E13/B13," - ")</f>
        <v>477</v>
      </c>
      <c r="G13" s="849">
        <f>SUBTOTAL(9,G8:G12)</f>
        <v>1295</v>
      </c>
      <c r="H13" s="850">
        <f>IF(ISNUMBER(G13/B13),G13/B13," - ")</f>
        <v>259</v>
      </c>
      <c r="I13" s="849">
        <f>SUBTOTAL(9,I8:I12)</f>
        <v>5877</v>
      </c>
      <c r="J13" s="850">
        <f>IF(ISNUMBER(I13/B13),I13/B13," - ")</f>
        <v>1175.4000000000001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2197</v>
      </c>
      <c r="D16" s="404">
        <f>IF(ISNUMBER(C16/Datos!BH16),C16/Datos!BH16," - ")</f>
        <v>439.4</v>
      </c>
      <c r="E16" s="403">
        <f>IF(ISNUMBER(IF(D_I="SI",Datos!J16,Datos!J16+Datos!AD16)),IF(D_I="SI",Datos!J16,Datos!J16+Datos!AD16)," - ")</f>
        <v>1765</v>
      </c>
      <c r="F16" s="404">
        <f>IF(ISNUMBER(E16/B16),E16/B16," - ")</f>
        <v>353</v>
      </c>
      <c r="G16" s="403">
        <f>IF(ISNUMBER(IF(D_I="SI",Datos!K16,Datos!K16+Datos!AE16)),IF(D_I="SI",Datos!K16,Datos!K16+Datos!AE16)," - ")</f>
        <v>1580</v>
      </c>
      <c r="H16" s="404">
        <f>IF(ISNUMBER(G16/B16),G16/B16," - ")</f>
        <v>316</v>
      </c>
      <c r="I16" s="403">
        <f>IF(ISNUMBER(IF(D_I="SI",Datos!L16,Datos!L16+Datos!AF16)),IF(D_I="SI",Datos!L16,Datos!L16+Datos!AF16)," - ")</f>
        <v>2382</v>
      </c>
      <c r="J16" s="404">
        <f>IF(ISNUMBER(I16/B16),I16/B16," - ")</f>
        <v>476.4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71</v>
      </c>
      <c r="D17" s="404">
        <f>IF(ISNUMBER(C17/Datos!BH17),C17/Datos!BH17," - ")</f>
        <v>71</v>
      </c>
      <c r="E17" s="403">
        <f>IF(ISNUMBER(IF(D_I="SI",Datos!J17,Datos!J17+Datos!AD17)),IF(D_I="SI",Datos!J17,Datos!J17+Datos!AD17)," - ")</f>
        <v>134</v>
      </c>
      <c r="F17" s="404">
        <f>IF(ISNUMBER(E17/B17),E17/B17," - ")</f>
        <v>134</v>
      </c>
      <c r="G17" s="403">
        <f>IF(ISNUMBER(IF(D_I="SI",Datos!K17,Datos!K17+Datos!AE17)),IF(D_I="SI",Datos!K17,Datos!K17+Datos!AE17)," - ")</f>
        <v>110</v>
      </c>
      <c r="H17" s="404">
        <f>IF(ISNUMBER(G17/B17),G17/B17," - ")</f>
        <v>110</v>
      </c>
      <c r="I17" s="403">
        <f>IF(ISNUMBER(IF(D_I="SI",Datos!L17,Datos!L17+Datos!AF17)),IF(D_I="SI",Datos!L17,Datos!L17+Datos!AF17)," - ")</f>
        <v>95</v>
      </c>
      <c r="J17" s="404">
        <f>IF(ISNUMBER(I17/B17),I17/B17," - ")</f>
        <v>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2268</v>
      </c>
      <c r="D18" s="850" t="str">
        <f>IF(ISNUMBER(C18/Datos!BI18),C18/Datos!BI18," - ")</f>
        <v xml:space="preserve"> - </v>
      </c>
      <c r="E18" s="849">
        <f>SUBTOTAL(9,E14:E17)</f>
        <v>1899</v>
      </c>
      <c r="F18" s="850">
        <f>IF(ISNUMBER(E18/B18),E18/B18," - ")</f>
        <v>379.8</v>
      </c>
      <c r="G18" s="849">
        <f>SUBTOTAL(9,G14:G17)</f>
        <v>1690</v>
      </c>
      <c r="H18" s="850">
        <f>IF(ISNUMBER(G18/B18),G18/B18," - ")</f>
        <v>338</v>
      </c>
      <c r="I18" s="849">
        <f>SUBTOTAL(9,I14:I17)</f>
        <v>2477</v>
      </c>
      <c r="J18" s="850">
        <f>IF(ISNUMBER(I18/B18),I18/B18," - ")</f>
        <v>495.4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7061</v>
      </c>
      <c r="D19" s="795" t="str">
        <f>IF(ISNUMBER(C19/Datos!BI19),C19/Datos!BI19," - ")</f>
        <v xml:space="preserve"> - </v>
      </c>
      <c r="E19" s="794">
        <f>SUBTOTAL(9,E9:E18)</f>
        <v>4284</v>
      </c>
      <c r="F19" s="795">
        <f>IF(ISNUMBER(E19/B19),E19/B19," - ")</f>
        <v>856.8</v>
      </c>
      <c r="G19" s="794">
        <f>SUBTOTAL(9,G9:G18)</f>
        <v>2985</v>
      </c>
      <c r="H19" s="795">
        <f>IF(ISNUMBER(G19/B19),G19/B19," - ")</f>
        <v>597</v>
      </c>
      <c r="I19" s="794">
        <f>SUBTOTAL(9,I9:I18)</f>
        <v>8354</v>
      </c>
      <c r="J19" s="795">
        <f>IF(ISNUMBER(I19/B19),I19/B19," - ")</f>
        <v>1670.8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j7C5Jpm6fUVstIjjEadT5cTiou4tNaQ+FFDMbsK0Ywdd1Vmawtxy9raEyB2wSixlqsbDbPS/9CuCVf0+kkPg==" saltValue="G9EtZjmxAvFljXnf9l5E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VELEZ-MALAGA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431</v>
      </c>
      <c r="AM12" s="690">
        <f>IF(ISNUMBER(Datos!N12+DatosP!N16),Datos!N12+DatosP!N16," - ")</f>
        <v>421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13.64291247095275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-3.6730945821854911E-2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173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333</v>
      </c>
      <c r="AE13" s="939">
        <f t="shared" si="1"/>
        <v>0</v>
      </c>
      <c r="AF13" s="939">
        <f t="shared" si="1"/>
        <v>6</v>
      </c>
      <c r="AG13" s="939">
        <f t="shared" si="1"/>
        <v>0</v>
      </c>
      <c r="AH13" s="939">
        <f t="shared" si="1"/>
        <v>4196</v>
      </c>
      <c r="AI13" s="939">
        <f t="shared" si="1"/>
        <v>0</v>
      </c>
      <c r="AJ13" s="939">
        <f t="shared" si="1"/>
        <v>0</v>
      </c>
      <c r="AK13" s="939">
        <f t="shared" si="1"/>
        <v>0</v>
      </c>
      <c r="AL13" s="939">
        <f t="shared" si="1"/>
        <v>435</v>
      </c>
      <c r="AM13" s="939">
        <f t="shared" si="1"/>
        <v>421</v>
      </c>
      <c r="AN13" s="939">
        <f t="shared" si="1"/>
        <v>0</v>
      </c>
      <c r="AO13" s="939">
        <f t="shared" si="1"/>
        <v>0</v>
      </c>
      <c r="AP13" s="944">
        <f>IF(ISNUMBER(((Datos!L13/Datos!K13)*11)/factor_trimestre),((Datos!L13/Datos!K13)*11)/factor_trimestre," - ")</f>
        <v>14.665822784810127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-3.6730945821854911E-2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4.3970414201183434</v>
      </c>
      <c r="AQ18" s="944">
        <f>IF(ISNUMBER(((Datos!M18/Datos!L18)*11)/factor_trimestre),((Datos!M18/Datos!L18)*11)/factor_trimestre," - ")</f>
        <v>0.19378280177634236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6.8627450980392163E-2</v>
      </c>
      <c r="AW18" s="946">
        <f>IF(ISNUMBER((Datos!Q18-Datos!R18)/(Datos!S18-Datos!Q18+Datos!R18)),(Datos!Q18-Datos!R18)/(Datos!S18-Datos!Q18+Datos!R18)," - ")</f>
        <v>-3.601440576230492E-2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173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333</v>
      </c>
      <c r="AE19" s="957">
        <f t="shared" si="5"/>
        <v>0</v>
      </c>
      <c r="AF19" s="958">
        <f t="shared" si="5"/>
        <v>6</v>
      </c>
      <c r="AG19" s="958">
        <f t="shared" si="5"/>
        <v>0</v>
      </c>
      <c r="AH19" s="958">
        <f t="shared" si="5"/>
        <v>4196</v>
      </c>
      <c r="AI19" s="958">
        <f t="shared" si="5"/>
        <v>0</v>
      </c>
      <c r="AJ19" s="959">
        <f t="shared" si="5"/>
        <v>0</v>
      </c>
      <c r="AK19" s="959">
        <f t="shared" si="5"/>
        <v>0</v>
      </c>
      <c r="AL19" s="951">
        <f t="shared" si="5"/>
        <v>435</v>
      </c>
      <c r="AM19" s="951">
        <f t="shared" si="5"/>
        <v>421</v>
      </c>
      <c r="AN19" s="951">
        <f t="shared" si="5"/>
        <v>0</v>
      </c>
      <c r="AO19" s="951">
        <f t="shared" si="5"/>
        <v>0</v>
      </c>
      <c r="AP19" s="951">
        <f>IF(ISNUMBER(((Datos!L19/Datos!K19)*11)/factor_trimestre),((Datos!L19/Datos!K19)*11)/factor_trimestre," - ")</f>
        <v>8.6295652173913062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-3.4320323014804845E-2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248.84868226829465</v>
      </c>
      <c r="AM21" s="736"/>
      <c r="AN21" s="736">
        <f>IF(ISNUMBER(STDEV(AN8:AN18)),STDEV(AN8:AN18),"-")</f>
        <v>0</v>
      </c>
      <c r="AO21" s="742">
        <f>IF(ISNUMBER(STDEV(AO8:AO18)),STDEV(AO8:AO18),"-")</f>
        <v>0</v>
      </c>
      <c r="AP21" s="779">
        <f>IF(ISNUMBER(STDEV(AP8:AP18)),STDEV(AP8:AP18),"-")</f>
        <v>5.6193694006203083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uW/dETvVJREM8luunq5rqYaQDrvdLmpMXm3fgghNTMIxelNEOfbEW6xR3OnA/H4QvaLJ9kOJo+33Su4E13Evg==" saltValue="P/+4IAcxT+YpNlV4cQI9t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VELEZ-MALAGA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MpRdPgeAItTlwEBtOqfbrkhaeKQeTWPjttglZMGQD7tSPrAPG8dLsZscIA3FfAQz8YOc74uGTkrKMxg7NV3bw==" saltValue="bWPAwkITmCdN/TwG/Woj9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VELEZ-MALAGA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431</v>
      </c>
      <c r="E12" s="404">
        <f t="shared" si="0"/>
        <v>86.2</v>
      </c>
      <c r="F12" s="403">
        <f>IF(ISNUMBER(Datos!N12),Datos!N12," - ")</f>
        <v>421</v>
      </c>
      <c r="G12" s="404">
        <f t="shared" si="1"/>
        <v>84.2</v>
      </c>
      <c r="H12" s="403">
        <f>IF(ISNUMBER(Datos!O12),Datos!O12," - ")</f>
        <v>413</v>
      </c>
      <c r="I12" s="404">
        <f t="shared" si="2"/>
        <v>82.6</v>
      </c>
      <c r="BZ12" s="1186">
        <f>Datos!EZ12</f>
        <v>0</v>
      </c>
    </row>
    <row r="13" spans="1:78" ht="14.25" thickTop="1" thickBot="1">
      <c r="A13" s="848" t="str">
        <f>Datos!A13</f>
        <v>TOTAL</v>
      </c>
      <c r="B13" s="849">
        <f>Datos!AP13</f>
        <v>5</v>
      </c>
      <c r="C13" s="851">
        <f>Datos!AR13</f>
        <v>5</v>
      </c>
      <c r="D13" s="849">
        <f>SUBTOTAL(9,D9:D12)</f>
        <v>435</v>
      </c>
      <c r="E13" s="850">
        <f t="shared" si="0"/>
        <v>87</v>
      </c>
      <c r="F13" s="849">
        <f>SUBTOTAL(9,F9:F12)</f>
        <v>421</v>
      </c>
      <c r="G13" s="850">
        <f t="shared" si="1"/>
        <v>84.2</v>
      </c>
      <c r="H13" s="849">
        <f>SUBTOTAL(9,H9:H12)</f>
        <v>413</v>
      </c>
      <c r="I13" s="850">
        <f>IF(ISNUMBER(H13/B13),H13/B13," - ")</f>
        <v>82.6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142</v>
      </c>
      <c r="E16" s="404">
        <f t="shared" si="3"/>
        <v>28.4</v>
      </c>
      <c r="F16" s="403">
        <f>IF(ISNUMBER(Datos!N16),Datos!N16," - ")</f>
        <v>1067</v>
      </c>
      <c r="G16" s="404">
        <f t="shared" si="4"/>
        <v>213.4</v>
      </c>
      <c r="H16" s="403">
        <f>IF(ISNUMBER(Datos!O16),Datos!O16," - ")</f>
        <v>17</v>
      </c>
      <c r="I16" s="404">
        <f t="shared" si="5"/>
        <v>3.4</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79</v>
      </c>
      <c r="G17" s="404">
        <f>IF(ISNUMBER(F17/B17),F17/B17," - ")</f>
        <v>79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160</v>
      </c>
      <c r="E18" s="850">
        <f t="shared" si="3"/>
        <v>32</v>
      </c>
      <c r="F18" s="849">
        <f>SUBTOTAL(9,F15:F17)</f>
        <v>1146</v>
      </c>
      <c r="G18" s="850">
        <f t="shared" si="4"/>
        <v>229.2</v>
      </c>
      <c r="H18" s="849">
        <f>SUBTOTAL(9,H15:H17)</f>
        <v>17</v>
      </c>
      <c r="I18" s="850">
        <f>IF(ISNUMBER(H18/B18),H18/B18," - ")</f>
        <v>3.4</v>
      </c>
      <c r="BZ18" s="1186"/>
    </row>
    <row r="19" spans="1:78" ht="14.25" thickTop="1" thickBot="1">
      <c r="A19" s="793" t="str">
        <f>Datos!A19</f>
        <v>TOTAL JURISDICCIONES</v>
      </c>
      <c r="B19" s="794">
        <f>Datos!AP19</f>
        <v>5</v>
      </c>
      <c r="C19" s="794">
        <f>Datos!AR19</f>
        <v>5</v>
      </c>
      <c r="D19" s="794">
        <f>SUBTOTAL(9,D8:D18)</f>
        <v>595</v>
      </c>
      <c r="E19" s="795">
        <f>IF(ISNUMBER(D19/B19),D19/B19," - ")</f>
        <v>119</v>
      </c>
      <c r="F19" s="794">
        <f>SUBTOTAL(9,F8:F18)</f>
        <v>1567</v>
      </c>
      <c r="G19" s="795">
        <f>IF(ISNUMBER(F19/B19),F19/B19," - ")</f>
        <v>313.39999999999998</v>
      </c>
      <c r="H19" s="794">
        <f>SUBTOTAL(9,H8:H18)</f>
        <v>430</v>
      </c>
      <c r="I19" s="795">
        <f>IF(ISNUMBER(H19/B19),H19/B19," - ")</f>
        <v>86</v>
      </c>
    </row>
    <row r="22" spans="1:78">
      <c r="A22" s="391" t="str">
        <f>Criterios!A4</f>
        <v>Fecha Informe: 03 jun. 2025</v>
      </c>
    </row>
    <row r="27" spans="1:78">
      <c r="A27" s="414"/>
    </row>
  </sheetData>
  <sheetProtection algorithmName="SHA-512" hashValue="pKfT9I7Bg08O60zbjQPhSqPnua9WvAdmYnYfIPmXP4BU+9QNxzMszyFC3KlCOzVoLi6dISwaa7V+9cu6Fic9Ng==" saltValue="NuFFRodtVwSQ7DCJl5Iu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VELEZ-MALAGA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173</v>
      </c>
      <c r="C12" s="434">
        <f>IF(ISNUMBER(Datos!Q12),Datos!Q12," - ")</f>
        <v>333</v>
      </c>
      <c r="D12" s="408">
        <f>IF(ISNUMBER(Datos!R12),Datos!R12," - ")</f>
        <v>4196</v>
      </c>
    </row>
    <row r="13" spans="1:4" ht="14.25" thickTop="1" thickBot="1">
      <c r="A13" s="848" t="str">
        <f>Datos!A13</f>
        <v>TOTAL</v>
      </c>
      <c r="B13" s="849">
        <f>SUBTOTAL(9,B9:B12)</f>
        <v>173</v>
      </c>
      <c r="C13" s="853">
        <f>SUBTOTAL(9,C9:C12)</f>
        <v>333</v>
      </c>
      <c r="D13" s="851">
        <f>SUBTOTAL(9,D9:D12)</f>
        <v>4196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19</v>
      </c>
      <c r="D16" s="408">
        <f>IF(ISNUMBER(Datos!R16),Datos!R16," - ")</f>
        <v>99</v>
      </c>
    </row>
    <row r="17" spans="1:4" ht="13.5" thickBot="1">
      <c r="A17" s="402" t="str">
        <f>Datos!A17</f>
        <v>Jdos. Violencia contra la mujer</v>
      </c>
      <c r="B17" s="433">
        <f>IF(ISNUMBER(Datos!P17),Datos!P17," - ")</f>
        <v>6</v>
      </c>
      <c r="C17" s="434">
        <f>IF(ISNUMBER(Datos!Q17),Datos!Q17," - ")</f>
        <v>0</v>
      </c>
      <c r="D17" s="408">
        <f>IF(ISNUMBER(Datos!R17),Datos!R17," - ")</f>
        <v>10</v>
      </c>
    </row>
    <row r="18" spans="1:4" ht="14.25" thickTop="1" thickBot="1">
      <c r="A18" s="848" t="str">
        <f>Datos!A18</f>
        <v>TOTAL</v>
      </c>
      <c r="B18" s="849">
        <f>SUBTOTAL(9,B15:B17)</f>
        <v>26</v>
      </c>
      <c r="C18" s="853">
        <f>SUBTOTAL(9,C15:C17)</f>
        <v>19</v>
      </c>
      <c r="D18" s="851">
        <f>SUBTOTAL(9,D15:D17)</f>
        <v>109</v>
      </c>
    </row>
    <row r="19" spans="1:4" ht="16.5" customHeight="1" thickTop="1" thickBot="1">
      <c r="A19" s="793" t="str">
        <f>Datos!A19</f>
        <v>TOTAL JURISDICCIONES</v>
      </c>
      <c r="B19" s="798">
        <f>SUBTOTAL(9,B8:B18)</f>
        <v>199</v>
      </c>
      <c r="C19" s="799">
        <f>SUBTOTAL(9,C8:C18)</f>
        <v>352</v>
      </c>
      <c r="D19" s="800">
        <f>SUBTOTAL(9,D8:D18)</f>
        <v>4305</v>
      </c>
    </row>
    <row r="20" spans="1:4" ht="7.5" customHeight="1"/>
    <row r="21" spans="1:4" ht="6" customHeight="1"/>
    <row r="22" spans="1:4">
      <c r="A22" s="391" t="str">
        <f>Criterios!A4</f>
        <v>Fecha Informe: 03 jun. 2025</v>
      </c>
    </row>
    <row r="27" spans="1:4">
      <c r="A27" s="414"/>
    </row>
  </sheetData>
  <sheetProtection algorithmName="SHA-512" hashValue="oXfFTBLboUFN4z6hAEmWsXaZBhTpE3fwUkvgM8SM7f8K4AuJkcAr5UAACLXGg71Ulw2gSb2ueQTe5PRDxOE4Kw==" saltValue="ITRrXTKbVK4FFTcncO0X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VELEZ-MALAGA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-0.42857142857142855</v>
      </c>
      <c r="D10" s="456">
        <f>IF(ISNUMBER((Datos!K10-Datos!U10)/Datos!U10),(Datos!K10-Datos!U10)/Datos!U10," - ")</f>
        <v>-0.2</v>
      </c>
      <c r="E10" s="456">
        <f>IF(ISNUMBER((Datos!L10-Datos!V10)/Datos!V10),(Datos!L10-Datos!V10)/Datos!V10," - ")</f>
        <v>-0.33333333333333331</v>
      </c>
      <c r="F10" s="456">
        <f>IF(ISNUMBER((Datos!M10-Datos!W10)/Datos!W10),(Datos!M10-Datos!W10)/Datos!W10," - ")</f>
        <v>0.33333333333333331</v>
      </c>
      <c r="G10" s="457">
        <f>IF(ISNUMBER((Datos!N10-Datos!X10)/Datos!X10),(Datos!N10-Datos!X10)/Datos!X10," - ")</f>
        <v>-1</v>
      </c>
      <c r="H10" s="455">
        <f>IF(ISNUMBER(((NºAsuntos!G10/NºAsuntos!E10)-Datos!BD10)/Datos!BD10),((NºAsuntos!G10/NºAsuntos!E10)-Datos!BD10)/Datos!BD10," - ")</f>
        <v>0.39999999999999997</v>
      </c>
      <c r="I10" s="456">
        <f>IF(ISNUMBER(((NºAsuntos!I10/NºAsuntos!G10)-Datos!BE10)/Datos!BE10),((NºAsuntos!I10/NºAsuntos!G10)-Datos!BE10)/Datos!BE10," - ")</f>
        <v>-0.16666666666666669</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-0.10714285714285708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0.34428531311429372</v>
      </c>
      <c r="C12" s="456">
        <f>IF(ISNUMBER(
   IF(J_V="SI",(Datos!J12-Datos!T12)/Datos!T12,(Datos!J12+Datos!Z12-(Datos!T12+Datos!AH12))/(Datos!T12+Datos!AH12))
     ),IF(J_V="SI",(Datos!J12-Datos!T12)/Datos!T12,(Datos!J12+Datos!Z12-(Datos!T12+Datos!AH12))/(Datos!T12+Datos!AH12))," - ")</f>
        <v>1.3297455968688845</v>
      </c>
      <c r="D12" s="456">
        <f>IF(ISNUMBER(
   IF(J_V="SI",(Datos!K12-Datos!U12)/Datos!U12,(Datos!K12+Datos!AA12-(Datos!U12+Datos!AI12))/(Datos!U12+Datos!AI12))
     ),IF(J_V="SI",(Datos!K12-Datos!U12)/Datos!U12,(Datos!K12+Datos!AA12-(Datos!U12+Datos!AI12))/(Datos!U12+Datos!AI12))," - ")</f>
        <v>0.30668016194331982</v>
      </c>
      <c r="E12" s="456">
        <f>IF(ISNUMBER(
   IF(J_V="SI",(Datos!L12-Datos!V12)/Datos!V12,(Datos!L12+Datos!AB12-(Datos!V12+Datos!AJ12))/(Datos!V12+Datos!AJ12))
     ),IF(J_V="SI",(Datos!L12-Datos!V12)/Datos!V12,(Datos!L12+Datos!AB12-(Datos!V12+Datos!AJ12))/(Datos!V12+Datos!AJ12))," - ")</f>
        <v>0.63310152990264257</v>
      </c>
      <c r="F12" s="456">
        <f>IF(ISNUMBER((Datos!M12-Datos!W12)/Datos!W12),(Datos!M12-Datos!W12)/Datos!W12," - ")</f>
        <v>0.3769968051118211</v>
      </c>
      <c r="G12" s="457">
        <f>IF(ISNUMBER((Datos!N12-Datos!X12)/Datos!X12),(Datos!N12-Datos!X12)/Datos!X12," - ")</f>
        <v>9.5923261390887284E-3</v>
      </c>
      <c r="H12" s="455">
        <f>IF(ISNUMBER(((NºAsuntos!G12/NºAsuntos!E12)-Datos!BD12)/Datos!BD12),((NºAsuntos!G12/NºAsuntos!E12)-Datos!BD12)/Datos!BD12," - ")</f>
        <v>-0.43913182465095635</v>
      </c>
      <c r="I12" s="456">
        <f>IF(ISNUMBER(((NºAsuntos!I12/NºAsuntos!G12)-Datos!BE12)/Datos!BE12),((NºAsuntos!I12/NºAsuntos!G12)-Datos!BE12)/Datos!BE12," - ")</f>
        <v>0.24980969135849007</v>
      </c>
      <c r="J12" s="461">
        <f>IF(ISNUMBER((('Resol  Asuntos'!D12/NºAsuntos!G12)-Datos!BF12)/Datos!BF12),(('Resol  Asuntos'!D12/NºAsuntos!G12)-Datos!BF12)/Datos!BF12," - ")</f>
        <v>-0.20900831619754554</v>
      </c>
      <c r="K12" s="462">
        <f>IF(ISNUMBER((((NºAsuntos!C12+NºAsuntos!E12)/NºAsuntos!G12)-Datos!BG12)/Datos!BG12),(((NºAsuntos!C12+NºAsuntos!E12)/NºAsuntos!G12)-Datos!BG12)/Datos!BG12," - ")</f>
        <v>0.19695780705746971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0.34332959641255606</v>
      </c>
      <c r="C13" s="855">
        <f>IF(ISNUMBER(
   IF(J_V="SI",(Datos!J13-Datos!T13)/Datos!T13,(Datos!J13+Datos!Z13-(Datos!T13+Datos!AH13))/(Datos!T13+Datos!AH13))
     ),IF(J_V="SI",(Datos!J13-Datos!T13)/Datos!T13,(Datos!J13+Datos!Z13-(Datos!T13+Datos!AH13))/(Datos!T13+Datos!AH13))," - ")</f>
        <v>1.3177842565597668</v>
      </c>
      <c r="D13" s="855">
        <f>IF(ISNUMBER(
   IF(J_V="SI",(Datos!K13-Datos!U13)/Datos!U13,(Datos!K13+Datos!AA13-(Datos!U13+Datos!AI13))/(Datos!U13+Datos!AI13))
     ),IF(J_V="SI",(Datos!K13-Datos!U13)/Datos!U13,(Datos!K13+Datos!AA13-(Datos!U13+Datos!AI13))/(Datos!U13+Datos!AI13))," - ")</f>
        <v>0.30412890231621348</v>
      </c>
      <c r="E13" s="855">
        <f>IF(ISNUMBER(
   IF(J_V="SI",(Datos!L13-Datos!V13)/Datos!V13,(Datos!L13+Datos!AB13-(Datos!V13+Datos!AJ13))/(Datos!V13+Datos!AJ13))
     ),IF(J_V="SI",(Datos!L13-Datos!V13)/Datos!V13,(Datos!L13+Datos!AB13-(Datos!V13+Datos!AJ13))/(Datos!V13+Datos!AJ13))," - ")</f>
        <v>0.63068812430632626</v>
      </c>
      <c r="F13" s="856">
        <f>IF(ISNUMBER((Datos!M13-Datos!W13)/Datos!W13),(Datos!M13-Datos!W13)/Datos!W13," - ")</f>
        <v>0.37658227848101267</v>
      </c>
      <c r="G13" s="857">
        <f>IF(ISNUMBER((Datos!N13-Datos!X13)/Datos!X13),(Datos!N13-Datos!X13)/Datos!X13," - ")</f>
        <v>7.1770334928229667E-3</v>
      </c>
      <c r="H13" s="857">
        <f>IF(ISNUMBER(((NºAsuntos!G13/NºAsuntos!E13)-Datos!BD13)/Datos!BD13),((NºAsuntos!G13/NºAsuntos!E13)-Datos!BD13)/Datos!BD13," - ")</f>
        <v>-0.4373380962333821</v>
      </c>
      <c r="I13" s="857">
        <f>IF(ISNUMBER(((NºAsuntos!I13/NºAsuntos!G13)-Datos!BE13)/Datos!BE13),((NºAsuntos!I13/NºAsuntos!G13)-Datos!BE13)/Datos!BE13," - ")</f>
        <v>0.25040409840631805</v>
      </c>
      <c r="J13" s="857">
        <f>IF(ISNUMBER((('Resol  Asuntos'!D13/NºAsuntos!G13)-Datos!BF13)/Datos!BF13),(('Resol  Asuntos'!D13/NºAsuntos!G13)-Datos!BF13)/Datos!BF13," - ")</f>
        <v>-0.20581908439051294</v>
      </c>
      <c r="K13" s="857">
        <f>IF(ISNUMBER((((NºAsuntos!C13+NºAsuntos!E13)/NºAsuntos!G13)-Datos!BG13)/Datos!BG13),(((NºAsuntos!C13+NºAsuntos!E13)/NºAsuntos!G13)-Datos!BG13)/Datos!BG13," - ")</f>
        <v>0.19731501911184307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-6.1512174284493806E-2</v>
      </c>
      <c r="C16" s="456">
        <f>IF(ISNUMBER(
   IF(D_I="SI",(Datos!J16-Datos!T16)/Datos!T16,(Datos!J16+Datos!AD16-(Datos!T16+Datos!AL16))/(Datos!T16+Datos!AL16))
     ),IF(D_I="SI",(Datos!J16-Datos!T16)/Datos!T16,(Datos!J16+Datos!AD16-(Datos!T16+Datos!AL16))/(Datos!T16+Datos!AL16))," - ")</f>
        <v>-0.27005789909015715</v>
      </c>
      <c r="D16" s="456">
        <f>IF(ISNUMBER(
   IF(D_I="SI",(Datos!K16-Datos!U16)/Datos!U16,(Datos!K16+Datos!AE16-(Datos!U16+Datos!AM16))/(Datos!U16+Datos!AM16))
     ),IF(D_I="SI",(Datos!K16-Datos!U16)/Datos!U16,(Datos!K16+Datos!AE16-(Datos!U16+Datos!AM16))/(Datos!U16+Datos!AM16))," - ")</f>
        <v>-0.37276697102024614</v>
      </c>
      <c r="E16" s="456">
        <f>IF(ISNUMBER(
   IF(D_I="SI",(Datos!L16-Datos!V16)/Datos!V16,(Datos!L16+Datos!AF16-(Datos!V16+Datos!AN16))/(Datos!V16+Datos!AN16))
     ),IF(D_I="SI",(Datos!L16-Datos!V16)/Datos!V16,(Datos!L16+Datos!AF16-(Datos!V16+Datos!AN16))/(Datos!V16+Datos!AN16))," - ")</f>
        <v>6.339285714285714E-2</v>
      </c>
      <c r="F16" s="456">
        <f>IF(ISNUMBER((Datos!M16-Datos!W16)/Datos!W16),(Datos!M16-Datos!W16)/Datos!W16," - ")</f>
        <v>-7.1895424836601302E-2</v>
      </c>
      <c r="G16" s="457">
        <f>IF(ISNUMBER((Datos!N16-Datos!X16)/Datos!X16),(Datos!N16-Datos!X16)/Datos!X16," - ")</f>
        <v>-0.49550827423167848</v>
      </c>
      <c r="H16" s="455">
        <f>IF(ISNUMBER(((NºAsuntos!G16/NºAsuntos!E16)-Datos!BD16)/Datos!BD16),((NºAsuntos!G16/NºAsuntos!E16)-Datos!BD16)/Datos!BD16," - ")</f>
        <v>-0.14070851893878467</v>
      </c>
      <c r="I16" s="456">
        <f>IF(ISNUMBER(((NºAsuntos!I16/NºAsuntos!G16)-Datos!BE16)/Datos!BE16),((NºAsuntos!I16/NºAsuntos!G16)-Datos!BE16)/Datos!BE16," - ")</f>
        <v>0.69537127034358048</v>
      </c>
      <c r="J16" s="461">
        <f>IF(ISNUMBER((('Resol  Asuntos'!D16/NºAsuntos!G16)-Datos!BF16)/Datos!BF16),(('Resol  Asuntos'!D16/NºAsuntos!G16)-Datos!BF16)/Datos!BF16," - ")</f>
        <v>0.47968064863076015</v>
      </c>
      <c r="K16" s="462">
        <f>IF(ISNUMBER((((NºAsuntos!C16+NºAsuntos!E16)/NºAsuntos!G16)-Datos!BG16)/Datos!BG16),(((NºAsuntos!C16+NºAsuntos!E16)/NºAsuntos!G16)-Datos!BG16)/Datos!BG16," - ")</f>
        <v>0.32730229997260363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4.4117647058823532E-2</v>
      </c>
      <c r="C17" s="456">
        <f>IF(ISNUMBER(
   IF(D_I="SI",(Datos!J17-Datos!T17)/Datos!T17,(Datos!J17+Datos!AD17-(Datos!T17+Datos!AL17))/(Datos!T17+Datos!AL17))
     ),IF(D_I="SI",(Datos!J17-Datos!T17)/Datos!T17,(Datos!J17+Datos!AD17-(Datos!T17+Datos!AL17))/(Datos!T17+Datos!AL17))," - ")</f>
        <v>0.28846153846153844</v>
      </c>
      <c r="D17" s="456">
        <f>IF(ISNUMBER(
   IF(D_I="SI",(Datos!K17-Datos!U17)/Datos!U17,(Datos!K17+Datos!AE17-(Datos!U17+Datos!AM17))/(Datos!U17+Datos!AM17))
     ),IF(D_I="SI",(Datos!K17-Datos!U17)/Datos!U17,(Datos!K17+Datos!AE17-(Datos!U17+Datos!AM17))/(Datos!U17+Datos!AM17))," - ")</f>
        <v>-9.0090090090090089E-3</v>
      </c>
      <c r="E17" s="456">
        <f>IF(ISNUMBER(
   IF(D_I="SI",(Datos!L17-Datos!V17)/Datos!V17,(Datos!L17+Datos!AF17-(Datos!V17+Datos!AN17))/(Datos!V17+Datos!AN17))
     ),IF(D_I="SI",(Datos!L17-Datos!V17)/Datos!V17,(Datos!L17+Datos!AF17-(Datos!V17+Datos!AN17))/(Datos!V17+Datos!AN17))," - ")</f>
        <v>0.55737704918032782</v>
      </c>
      <c r="F17" s="456">
        <f>IF(ISNUMBER((Datos!M17-Datos!W17)/Datos!W17),(Datos!M17-Datos!W17)/Datos!W17," - ")</f>
        <v>-0.1</v>
      </c>
      <c r="G17" s="457">
        <f>IF(ISNUMBER((Datos!N17-Datos!X17)/Datos!X17),(Datos!N17-Datos!X17)/Datos!X17," - ")</f>
        <v>8.2191780821917804E-2</v>
      </c>
      <c r="H17" s="455">
        <f>IF(ISNUMBER(((NºAsuntos!G17/NºAsuntos!E17)-Datos!BD17)/Datos!BD17),((NºAsuntos!G17/NºAsuntos!E17)-Datos!BD17)/Datos!BD17," - ")</f>
        <v>-0.23087266370848455</v>
      </c>
      <c r="I17" s="456">
        <f>IF(ISNUMBER(((NºAsuntos!I17/NºAsuntos!G17)-Datos!BE17)/Datos!BE17),((NºAsuntos!I17/NºAsuntos!G17)-Datos!BE17)/Datos!BE17," - ")</f>
        <v>0.57153502235469433</v>
      </c>
      <c r="J17" s="461">
        <f>IF(ISNUMBER((('Resol  Asuntos'!D17/NºAsuntos!G17)-Datos!BF17)/Datos!BF17),(('Resol  Asuntos'!D17/NºAsuntos!G17)-Datos!BF17)/Datos!BF17," - ")</f>
        <v>-9.1818181818181785E-2</v>
      </c>
      <c r="K17" s="462">
        <f>IF(ISNUMBER((((NºAsuntos!C17+NºAsuntos!E17)/NºAsuntos!G17)-Datos!BG17)/Datos!BG17),(((NºAsuntos!C17+NºAsuntos!E17)/NºAsuntos!G17)-Datos!BG17)/Datos!BG17," - ")</f>
        <v>0.20269556025369978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-5.8530510585305104E-2</v>
      </c>
      <c r="C18" s="855">
        <f>IF(ISNUMBER(
   IF(Criterios!B14="SI",(Datos!J18-Datos!T18)/Datos!T18,(Datos!J18+Datos!AD18-(Datos!T18+Datos!AL18))/(Datos!T18+Datos!AL18))
     ),IF(Criterios!B14="SI",(Datos!J18-Datos!T18)/Datos!T18,(Datos!J18+Datos!AD18-(Datos!T18+Datos!AL18))/(Datos!T18+Datos!AL18))," - ")</f>
        <v>-0.24702616970658209</v>
      </c>
      <c r="D18" s="855">
        <f>IF(ISNUMBER(
   IF(Criterios!B14="SI",(Datos!K18-Datos!U18)/Datos!U18,(Datos!K18+Datos!AE18-(Datos!U18+Datos!AM18))/(Datos!U18+Datos!AM18))
     ),IF(Criterios!B14="SI",(Datos!K18-Datos!U18)/Datos!U18,(Datos!K18+Datos!AE18-(Datos!U18+Datos!AM18))/(Datos!U18+Datos!AM18))," - ")</f>
        <v>-0.35741444866920152</v>
      </c>
      <c r="E18" s="855">
        <f>IF(ISNUMBER(
   IF(Criterios!B14="SI",(Datos!L18-Datos!V18)/Datos!V18,(Datos!L18+Datos!AF18-(Datos!V18+Datos!AN18))/(Datos!V18+Datos!AN18))
     ),IF(Criterios!B14="SI",(Datos!L18-Datos!V18)/Datos!V18,(Datos!L18+Datos!AF18-(Datos!V18+Datos!AN18))/(Datos!V18+Datos!AN18))," - ")</f>
        <v>7.6488483268144281E-2</v>
      </c>
      <c r="F18" s="856">
        <f>IF(ISNUMBER((Datos!M18-Datos!W18)/Datos!W18),(Datos!M18-Datos!W18)/Datos!W18," - ")</f>
        <v>-7.5144508670520235E-2</v>
      </c>
      <c r="G18" s="857">
        <f>IF(ISNUMBER((Datos!N18-Datos!X18)/Datos!X18),(Datos!N18-Datos!X18)/Datos!X18," - ")</f>
        <v>-0.47623400365630714</v>
      </c>
      <c r="H18" s="857">
        <f>IF(ISNUMBER(((NºAsuntos!G18/NºAsuntos!E18)-Datos!BD18)/Datos!BD18),((NºAsuntos!G18/NºAsuntos!E18)-Datos!BD18)/Datos!BD18," - ")</f>
        <v>-0.14660307506252043</v>
      </c>
      <c r="I18" s="857">
        <f>IF(ISNUMBER(((NºAsuntos!I18/NºAsuntos!G18)-Datos!BE18)/Datos!BE18),((NºAsuntos!I18/NºAsuntos!G18)-Datos!BE18)/Datos!BE18," - ")</f>
        <v>0.67524539112143167</v>
      </c>
      <c r="J18" s="857">
        <f>IF(ISNUMBER((('Resol  Asuntos'!D18/NºAsuntos!G18)-Datos!BF18)/Datos!BF18),(('Resol  Asuntos'!D18/NºAsuntos!G18)-Datos!BF18)/Datos!BF18," - ")</f>
        <v>0.43927215514587664</v>
      </c>
      <c r="K18" s="857">
        <f>IF(ISNUMBER((((NºAsuntos!C18+NºAsuntos!E18)/NºAsuntos!G18)-Datos!BG18)/Datos!BG18),(((NºAsuntos!C18+NºAsuntos!E18)/NºAsuntos!G18)-Datos!BG18)/Datos!BG18," - ")</f>
        <v>0.31509625734544999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0.18136188723439853</v>
      </c>
      <c r="C19" s="802">
        <f>IF(ISNUMBER(
   IF(J_V="SI",(Datos!J19-Datos!T19)/Datos!T19,(Datos!J19+Datos!Z19-(Datos!T19+Datos!AH19))/(Datos!T19+Datos!AH19))
     ),IF(J_V="SI",(Datos!J19-Datos!T19)/Datos!T19,(Datos!J19+Datos!Z19-(Datos!T19+Datos!AH19))/(Datos!T19+Datos!AH19))," - ")</f>
        <v>0.20642072655589974</v>
      </c>
      <c r="D19" s="802">
        <f>IF(ISNUMBER(
   IF(J_V="SI",(Datos!K19-Datos!U19)/Datos!U19,(Datos!K19+Datos!AA19-(Datos!U19+Datos!AI19))/(Datos!U19+Datos!AI19))
     ),IF(J_V="SI",(Datos!K19-Datos!U19)/Datos!U19,(Datos!K19+Datos!AA19-(Datos!U19+Datos!AI19))/(Datos!U19+Datos!AI19))," - ")</f>
        <v>-0.17609715705216672</v>
      </c>
      <c r="E19" s="802">
        <f>IF(ISNUMBER(
   IF(J_V="SI",(Datos!L19-Datos!V19)/Datos!V19,(Datos!L19+Datos!AB19-(Datos!V19+Datos!AJ19))/(Datos!V19+Datos!AJ19))
     ),IF(J_V="SI",(Datos!L19-Datos!V19)/Datos!V19,(Datos!L19+Datos!AB19-(Datos!V19+Datos!AJ19))/(Datos!V19+Datos!AJ19))," - ")</f>
        <v>0.41473327688399664</v>
      </c>
      <c r="F19" s="803">
        <f>IF(ISNUMBER((Datos!M19-Datos!W19)/Datos!W19),(Datos!M19-Datos!W19)/Datos!W19," - ")</f>
        <v>0.21676891615541921</v>
      </c>
      <c r="G19" s="804">
        <f>IF(ISNUMBER((Datos!N19-Datos!X19)/Datos!X19),(Datos!N19-Datos!X19)/Datos!X19," - ")</f>
        <v>-0.39869531849577899</v>
      </c>
      <c r="H19" s="805">
        <f>IF(ISNUMBER((Tasas!B19-Datos!BD19)/Datos!BD19),(Tasas!B19-Datos!BD19)/Datos!BD19," - ")</f>
        <v>-0.31706839511957147</v>
      </c>
      <c r="I19" s="806">
        <f>IF(ISNUMBER((Tasas!C19-Datos!BE19)/Datos!BE19),(Tasas!C19-Datos!BE19)/Datos!BE19," - ")</f>
        <v>0.71711177961498129</v>
      </c>
      <c r="J19" s="807">
        <f>IF(ISNUMBER((Tasas!D19-Datos!BF19)/Datos!BF19),(Tasas!D19-Datos!BF19)/Datos!BF19," - ")</f>
        <v>0.21782888585705365</v>
      </c>
      <c r="K19" s="807">
        <f>IF(ISNUMBER((Tasas!E19-Datos!BG19)/Datos!BG19),(Tasas!E19-Datos!BG19)/Datos!BG19," - ")</f>
        <v>0.44519599818290995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irgO3P6Uo9zJfoooQTmY1LlHUTNlxp5g4wdlp+mURDHRdKIdXhP1kL96jBrHfoXjIwHHkdxSbpewh5JW7mmZA==" saltValue="7+fre0+nkydtmsNyzMYs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VELEZ-MALAGA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1.5</v>
      </c>
      <c r="D10" s="444">
        <f>IF(ISNUMBER('Resol  Asuntos'!D10/NºAsuntos!G10),'Resol  Asuntos'!D10/NºAsuntos!G10," - ")</f>
        <v>1</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0.54220915581688367</v>
      </c>
      <c r="C12" s="443">
        <f>IF(ISNUMBER(NºAsuntos!I12/NºAsuntos!G12),NºAsuntos!I12/NºAsuntos!G12," - ")</f>
        <v>4.5476374903175829</v>
      </c>
      <c r="D12" s="444">
        <f>IF(ISNUMBER('Resol  Asuntos'!D12/NºAsuntos!G12),'Resol  Asuntos'!D12/NºAsuntos!G12," - ")</f>
        <v>0.3338497288923315</v>
      </c>
      <c r="E12" s="445">
        <f>IF(ISNUMBER((NºAsuntos!C12+NºAsuntos!E12)/NºAsuntos!G12),(NºAsuntos!C12+NºAsuntos!E12)/NºAsuntos!G12," - ")</f>
        <v>5.5522850503485666</v>
      </c>
      <c r="G12" s="463"/>
    </row>
    <row r="13" spans="1:7" ht="14.25" thickTop="1" thickBot="1">
      <c r="A13" s="848" t="str">
        <f>Datos!A13</f>
        <v>TOTAL</v>
      </c>
      <c r="B13" s="858">
        <f>IF(ISNUMBER(NºAsuntos!G13/NºAsuntos!E13),NºAsuntos!G13/NºAsuntos!E13," - ")</f>
        <v>0.54297693920335433</v>
      </c>
      <c r="C13" s="859">
        <f>IF(ISNUMBER(NºAsuntos!I13/NºAsuntos!G13),NºAsuntos!I13/NºAsuntos!G13," - ")</f>
        <v>4.538223938223938</v>
      </c>
      <c r="D13" s="860">
        <f>IF(ISNUMBER('Resol  Asuntos'!D13/NºAsuntos!G13),'Resol  Asuntos'!D13/NºAsuntos!G13," - ")</f>
        <v>0.3359073359073359</v>
      </c>
      <c r="E13" s="861">
        <f>IF(ISNUMBER((NºAsuntos!C13+NºAsuntos!E13)/NºAsuntos!G13),(NºAsuntos!C13+NºAsuntos!E13)/NºAsuntos!G13," - ")</f>
        <v>5.5428571428571427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0.89518413597733715</v>
      </c>
      <c r="C16" s="443">
        <f>IF(ISNUMBER(NºAsuntos!I16/NºAsuntos!G16),NºAsuntos!I16/NºAsuntos!G16," - ")</f>
        <v>1.5075949367088608</v>
      </c>
      <c r="D16" s="444">
        <f>IF(ISNUMBER('Resol  Asuntos'!D16/NºAsuntos!G16),'Resol  Asuntos'!D16/NºAsuntos!G16," - ")</f>
        <v>8.9873417721518981E-2</v>
      </c>
      <c r="E16" s="445">
        <f>IF(ISNUMBER((NºAsuntos!C16+NºAsuntos!E16)/NºAsuntos!G16),(NºAsuntos!C16+NºAsuntos!E16)/NºAsuntos!G16," - ")</f>
        <v>2.5075949367088608</v>
      </c>
      <c r="G16" s="463"/>
    </row>
    <row r="17" spans="1:7" ht="13.5" thickBot="1">
      <c r="A17" s="402" t="str">
        <f>Datos!A17</f>
        <v>Jdos. Violencia contra la mujer</v>
      </c>
      <c r="B17" s="442">
        <f>IF(ISNUMBER(NºAsuntos!G17/NºAsuntos!E17),NºAsuntos!G17/NºAsuntos!E17," - ")</f>
        <v>0.82089552238805974</v>
      </c>
      <c r="C17" s="443">
        <f>IF(ISNUMBER(NºAsuntos!I17/NºAsuntos!G17),NºAsuntos!I17/NºAsuntos!G17," - ")</f>
        <v>0.86363636363636365</v>
      </c>
      <c r="D17" s="444">
        <f>IF(ISNUMBER('Resol  Asuntos'!D17/NºAsuntos!G17),'Resol  Asuntos'!D17/NºAsuntos!G17," - ")</f>
        <v>0.16363636363636364</v>
      </c>
      <c r="E17" s="445">
        <f>IF(ISNUMBER((NºAsuntos!C17+NºAsuntos!E17)/NºAsuntos!G17),(NºAsuntos!C17+NºAsuntos!E17)/NºAsuntos!G17," - ")</f>
        <v>1.8636363636363635</v>
      </c>
      <c r="G17" s="463"/>
    </row>
    <row r="18" spans="1:7" ht="14.25" thickTop="1" thickBot="1">
      <c r="A18" s="848" t="str">
        <f>Datos!A18</f>
        <v>TOTAL</v>
      </c>
      <c r="B18" s="858">
        <f>IF(ISNUMBER(NºAsuntos!G18/NºAsuntos!E18),NºAsuntos!G18/NºAsuntos!E18," - ")</f>
        <v>0.88994207477619802</v>
      </c>
      <c r="C18" s="859">
        <f>IF(ISNUMBER(NºAsuntos!I18/NºAsuntos!G18),NºAsuntos!I18/NºAsuntos!G18," - ")</f>
        <v>1.4656804733727811</v>
      </c>
      <c r="D18" s="862">
        <f>IF(ISNUMBER('Resol  Asuntos'!D18/NºAsuntos!G18),'Resol  Asuntos'!D18/NºAsuntos!G18," - ")</f>
        <v>9.4674556213017749E-2</v>
      </c>
      <c r="E18" s="861">
        <f>IF(ISNUMBER((NºAsuntos!C18+NºAsuntos!E18)/NºAsuntos!G18),(NºAsuntos!C18+NºAsuntos!E18)/NºAsuntos!G18," - ")</f>
        <v>2.4656804733727808</v>
      </c>
      <c r="G18" s="463"/>
    </row>
    <row r="19" spans="1:7" ht="15.75" customHeight="1" thickTop="1" thickBot="1">
      <c r="A19" s="793" t="str">
        <f>Datos!A19</f>
        <v>TOTAL JURISDICCIONES</v>
      </c>
      <c r="B19" s="808">
        <f>IF(ISNUMBER(NºAsuntos!G19/NºAsuntos!E19),NºAsuntos!G19/NºAsuntos!E19," - ")</f>
        <v>0.6967787114845938</v>
      </c>
      <c r="C19" s="809">
        <f>IF(ISNUMBER(NºAsuntos!I19/NºAsuntos!G19),NºAsuntos!I19/NºAsuntos!G19," - ")</f>
        <v>2.7986599664991623</v>
      </c>
      <c r="D19" s="810">
        <f>IF(ISNUMBER('Resol  Asuntos'!D19/NºAsuntos!G19),'Resol  Asuntos'!D19/NºAsuntos!G19," - ")</f>
        <v>0.19932998324958123</v>
      </c>
      <c r="E19" s="811">
        <f>IF(ISNUMBER((NºAsuntos!C19+NºAsuntos!E19)/NºAsuntos!G19),(NºAsuntos!C19+NºAsuntos!E19)/NºAsuntos!G19," - ")</f>
        <v>3.8006700167504186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mFzxt2jOpGzJOTYRlPiB8pU1DfVY77j/1FEj0jWLxgMqdwDbiYK/h7slIZifroPpPITaG0itVNKuwquTGulug==" saltValue="y8kNUyrirjWt2max2+UT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VELEZ-MALAGA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4.5</v>
      </c>
      <c r="AN10" s="244">
        <f>IF(ISNUMBER('Resol  Asuntos'!D10/NºAsuntos!G10),'Resol  Asuntos'!D10/NºAsuntos!G10," - ")</f>
        <v>1</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333</v>
      </c>
      <c r="Y12" s="334">
        <f t="shared" si="0"/>
        <v>333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431</v>
      </c>
      <c r="AJ12" s="229" t="str">
        <f>IF(ISNUMBER(Datos!BW12),Datos!BW12," - ")</f>
        <v xml:space="preserve"> - </v>
      </c>
      <c r="AK12" s="228" t="str">
        <f>IF(ISNUMBER(Datos!BX12),Datos!BX12," - ")</f>
        <v xml:space="preserve"> - </v>
      </c>
      <c r="AL12" s="243">
        <f>IF(ISNUMBER(NºAsuntos!G12/NºAsuntos!E12),NºAsuntos!G12/NºAsuntos!E12," - ")</f>
        <v>0.54220915581688367</v>
      </c>
      <c r="AM12" s="260">
        <f>IF(ISNUMBER(((NºAsuntos!I12/NºAsuntos!G12)*11)/factor_trimestre),((NºAsuntos!I12/NºAsuntos!G12)*11)/factor_trimestre," - ")</f>
        <v>13.64291247095275</v>
      </c>
      <c r="AN12" s="244">
        <f>IF(ISNUMBER('Resol  Asuntos'!D12/NºAsuntos!G12),'Resol  Asuntos'!D12/NºAsuntos!G12," - ")</f>
        <v>0.3338497288923315</v>
      </c>
      <c r="AO12" s="245">
        <f>IF(ISNUMBER((NºAsuntos!C12+NºAsuntos!E12)/NºAsuntos!G12),(NºAsuntos!C12+NºAsuntos!E12)/NºAsuntos!G12," - ")</f>
        <v>5.5522850503485666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6</v>
      </c>
      <c r="G13" s="866">
        <f t="shared" si="3"/>
        <v>6</v>
      </c>
      <c r="H13" s="865">
        <f t="shared" si="3"/>
        <v>0</v>
      </c>
      <c r="I13" s="867">
        <f t="shared" si="3"/>
        <v>0</v>
      </c>
      <c r="J13" s="867">
        <f t="shared" si="3"/>
        <v>0</v>
      </c>
      <c r="K13" s="867">
        <f t="shared" si="3"/>
        <v>0</v>
      </c>
      <c r="L13" s="867">
        <f t="shared" si="3"/>
        <v>173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333</v>
      </c>
      <c r="Y13" s="868">
        <f t="shared" si="4"/>
        <v>337</v>
      </c>
      <c r="Z13" s="868">
        <f t="shared" si="4"/>
        <v>0</v>
      </c>
      <c r="AA13" s="868">
        <f t="shared" si="4"/>
        <v>6</v>
      </c>
      <c r="AB13" s="868">
        <f t="shared" si="4"/>
        <v>4196</v>
      </c>
      <c r="AC13" s="868">
        <f t="shared" si="4"/>
        <v>6</v>
      </c>
      <c r="AD13" s="868">
        <f t="shared" si="4"/>
        <v>0</v>
      </c>
      <c r="AE13" s="872">
        <f t="shared" si="4"/>
        <v>0</v>
      </c>
      <c r="AF13" s="865">
        <f t="shared" si="4"/>
        <v>0</v>
      </c>
      <c r="AG13" s="873">
        <f t="shared" si="4"/>
        <v>0</v>
      </c>
      <c r="AH13" s="870">
        <f t="shared" si="4"/>
        <v>0</v>
      </c>
      <c r="AI13" s="865">
        <f t="shared" si="4"/>
        <v>435</v>
      </c>
      <c r="AJ13" s="867">
        <f t="shared" si="4"/>
        <v>0</v>
      </c>
      <c r="AK13" s="870">
        <f>SUBTOTAL(9,AK9:AK12)</f>
        <v>0</v>
      </c>
      <c r="AL13" s="874">
        <f>IF(ISNUMBER(NºAsuntos!G13/NºAsuntos!E13),NºAsuntos!G13/NºAsuntos!E13," - ")</f>
        <v>0.54297693920335433</v>
      </c>
      <c r="AM13" s="874">
        <f>IF(ISNUMBER(((NºAsuntos!I13/NºAsuntos!G13)*11)/factor_trimestre),((NºAsuntos!I13/NºAsuntos!G13)*11)/factor_trimestre," - ")</f>
        <v>13.614671814671816</v>
      </c>
      <c r="AN13" s="875">
        <f>IF(ISNUMBER('Resol  Asuntos'!D13/NºAsuntos!G13),'Resol  Asuntos'!D13/NºAsuntos!G13," - ")</f>
        <v>0.3359073359073359</v>
      </c>
      <c r="AO13" s="876">
        <f>IF(ISNUMBER((NºAsuntos!C13+NºAsuntos!E13)/NºAsuntos!G13),(NºAsuntos!C13+NºAsuntos!E13)/NºAsuntos!G13," - ")</f>
        <v>5.5428571428571427</v>
      </c>
      <c r="AP13" s="877" t="str">
        <f t="shared" si="2"/>
        <v xml:space="preserve"> - </v>
      </c>
      <c r="AQ13" s="877">
        <f>IF(ISNUMBER((H13-W13+K13)/(F13)),(H13-W13+K13)/(F13)," - ")</f>
        <v>-0.66666666666666663</v>
      </c>
      <c r="AR13" s="878">
        <f>IF(ISNUMBER((Datos!P13-Datos!Q13)/(Datos!R13-Datos!P13+Datos!Q13)),(Datos!P13-Datos!Q13)/(Datos!R13-Datos!P13+Datos!Q13)," - ")</f>
        <v>-3.6730945821854911E-2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2197</v>
      </c>
      <c r="G16" s="333">
        <f>IF(ISNUMBER(IF(D_I="SI",Datos!I16,Datos!I16+Datos!AC16)),IF(D_I="SI",Datos!I16,Datos!I16+Datos!AC16)," - ")</f>
        <v>2197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1580</v>
      </c>
      <c r="X16" s="226">
        <f>IF(ISNUMBER(Datos!Q16),Datos!Q16," - ")</f>
        <v>19</v>
      </c>
      <c r="Y16" s="334">
        <f t="shared" ref="Y16:Y17" si="7">SUM(W16:X16)</f>
        <v>1599</v>
      </c>
      <c r="Z16" s="335" t="str">
        <f>IF(ISNUMBER(Datos!CC16),Datos!CC16," - ")</f>
        <v xml:space="preserve"> - </v>
      </c>
      <c r="AA16" s="332">
        <f>IF(ISNUMBER(IF(D_I="SI",Datos!L16,Datos!L16+Datos!AF16)),IF(D_I="SI",Datos!L16,Datos!L16+Datos!AF16)," - ")</f>
        <v>2382</v>
      </c>
      <c r="AB16" s="334">
        <f>IF(ISNUMBER(Datos!R16),Datos!R16," - ")</f>
        <v>99</v>
      </c>
      <c r="AC16" s="334">
        <f t="shared" si="6"/>
        <v>2481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142</v>
      </c>
      <c r="AJ16" s="231" t="str">
        <f>IF(ISNUMBER(Datos!BW16),Datos!BW16," - ")</f>
        <v xml:space="preserve"> - </v>
      </c>
      <c r="AK16" s="232" t="str">
        <f>IF(ISNUMBER(Datos!BX16),Datos!BX16," - ")</f>
        <v xml:space="preserve"> - </v>
      </c>
      <c r="AL16" s="243">
        <f>IF(ISNUMBER(NºAsuntos!G16/NºAsuntos!E16),NºAsuntos!G16/NºAsuntos!E16," - ")</f>
        <v>0.89518413597733715</v>
      </c>
      <c r="AM16" s="260">
        <f>IF(ISNUMBER(((NºAsuntos!I16/NºAsuntos!G16)*11)/factor_trimestre),((NºAsuntos!I16/NºAsuntos!G16)*11)/factor_trimestre," - ")</f>
        <v>4.5227848101265824</v>
      </c>
      <c r="AN16" s="244">
        <f>IF(ISNUMBER('Resol  Asuntos'!D16/NºAsuntos!G16),'Resol  Asuntos'!D16/NºAsuntos!G16," - ")</f>
        <v>8.9873417721518981E-2</v>
      </c>
      <c r="AO16" s="245">
        <f>IF(ISNUMBER((NºAsuntos!C16+NºAsuntos!E16)/NºAsuntos!G16),(NºAsuntos!C16+NºAsuntos!E16)/NºAsuntos!G16," - ")</f>
        <v>2.5075949367088608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110</v>
      </c>
      <c r="X17" s="226">
        <f>IF(ISNUMBER(Datos!Q17),Datos!Q17," - ")</f>
        <v>0</v>
      </c>
      <c r="Y17" s="334">
        <f t="shared" si="7"/>
        <v>110</v>
      </c>
      <c r="Z17" s="335" t="str">
        <f>IF(ISNUMBER(Datos!CC17),Datos!CC17," - ")</f>
        <v xml:space="preserve"> - </v>
      </c>
      <c r="AA17" s="332">
        <f>IF(ISNUMBER(Datos!L17),Datos!L17,"-")</f>
        <v>95</v>
      </c>
      <c r="AB17" s="334">
        <f>IF(ISNUMBER(Datos!R17),Datos!R17," - ")</f>
        <v>10</v>
      </c>
      <c r="AC17" s="334">
        <f t="shared" si="6"/>
        <v>105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0.82089552238805974</v>
      </c>
      <c r="AM17" s="260">
        <f>IF(ISNUMBER(((NºAsuntos!I17/NºAsuntos!G17)*11)/factor_trimestre),((NºAsuntos!I17/NºAsuntos!G17)*11)/factor_trimestre," - ")</f>
        <v>2.5909090909090908</v>
      </c>
      <c r="AN17" s="244">
        <f>IF(ISNUMBER('Resol  Asuntos'!D17/NºAsuntos!G17),'Resol  Asuntos'!D17/NºAsuntos!G17," - ")</f>
        <v>0.16363636363636364</v>
      </c>
      <c r="AO17" s="245">
        <f>IF(ISNUMBER((NºAsuntos!C17+NºAsuntos!E17)/NºAsuntos!G17),(NºAsuntos!C17+NºAsuntos!E17)/NºAsuntos!G17," - ")</f>
        <v>1.8636363636363635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2197</v>
      </c>
      <c r="G18" s="866">
        <f>SUBTOTAL(9,G15:G17)</f>
        <v>2268</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1690</v>
      </c>
      <c r="X18" s="867">
        <f t="shared" si="11"/>
        <v>19</v>
      </c>
      <c r="Y18" s="868">
        <f t="shared" si="11"/>
        <v>1709</v>
      </c>
      <c r="Z18" s="868">
        <f t="shared" si="11"/>
        <v>0</v>
      </c>
      <c r="AA18" s="868">
        <f t="shared" si="11"/>
        <v>2477</v>
      </c>
      <c r="AB18" s="868">
        <f t="shared" si="11"/>
        <v>109</v>
      </c>
      <c r="AC18" s="868">
        <f t="shared" si="11"/>
        <v>2586</v>
      </c>
      <c r="AD18" s="868">
        <f t="shared" si="11"/>
        <v>0</v>
      </c>
      <c r="AE18" s="872">
        <f t="shared" si="11"/>
        <v>0</v>
      </c>
      <c r="AF18" s="865">
        <f t="shared" si="11"/>
        <v>0</v>
      </c>
      <c r="AG18" s="873">
        <f t="shared" si="11"/>
        <v>0</v>
      </c>
      <c r="AH18" s="870">
        <f t="shared" si="11"/>
        <v>0</v>
      </c>
      <c r="AI18" s="865">
        <f t="shared" si="11"/>
        <v>160</v>
      </c>
      <c r="AJ18" s="867">
        <f t="shared" si="11"/>
        <v>0</v>
      </c>
      <c r="AK18" s="870">
        <f t="shared" si="11"/>
        <v>0</v>
      </c>
      <c r="AL18" s="874">
        <f>IF(ISNUMBER(NºAsuntos!G18/NºAsuntos!E18),NºAsuntos!G18/NºAsuntos!E18," - ")</f>
        <v>0.88994207477619802</v>
      </c>
      <c r="AM18" s="874">
        <f>IF(ISNUMBER(((NºAsuntos!I18/NºAsuntos!G18)*11)/factor_trimestre),((NºAsuntos!I18/NºAsuntos!G18)*11)/factor_trimestre," - ")</f>
        <v>4.3970414201183434</v>
      </c>
      <c r="AN18" s="875">
        <f>IF(ISNUMBER('Resol  Asuntos'!D18/NºAsuntos!G18),'Resol  Asuntos'!D18/NºAsuntos!G18," - ")</f>
        <v>9.4674556213017749E-2</v>
      </c>
      <c r="AO18" s="876">
        <f>IF(ISNUMBER((NºAsuntos!C18+NºAsuntos!E18)/NºAsuntos!G18),(NºAsuntos!C18+NºAsuntos!E18)/NºAsuntos!G18," - ")</f>
        <v>2.4656804733727808</v>
      </c>
      <c r="AP18" s="877" t="str">
        <f t="shared" si="2"/>
        <v xml:space="preserve"> - </v>
      </c>
      <c r="AQ18" s="877">
        <f>IF(ISNUMBER((H18-W18+K18)/(F18)),(H18-W18+K18)/(F18)," - ")</f>
        <v>-0.76923076923076927</v>
      </c>
      <c r="AR18" s="878">
        <f>IF(ISNUMBER((Datos!P18-Datos!Q18)/(Datos!R18-Datos!P18+Datos!Q18)),(Datos!P18-Datos!Q18)/(Datos!R18-Datos!P18+Datos!Q18)," - ")</f>
        <v>6.8627450980392163E-2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2203</v>
      </c>
      <c r="G19" s="821">
        <f t="shared" si="13"/>
        <v>2274</v>
      </c>
      <c r="H19" s="820">
        <f t="shared" si="13"/>
        <v>0</v>
      </c>
      <c r="I19" s="822">
        <f t="shared" si="13"/>
        <v>0</v>
      </c>
      <c r="J19" s="822">
        <f t="shared" si="13"/>
        <v>0</v>
      </c>
      <c r="K19" s="881">
        <f t="shared" si="13"/>
        <v>0</v>
      </c>
      <c r="L19" s="822">
        <f t="shared" si="13"/>
        <v>199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1694</v>
      </c>
      <c r="X19" s="821">
        <f t="shared" si="14"/>
        <v>352</v>
      </c>
      <c r="Y19" s="828">
        <f t="shared" si="14"/>
        <v>2046</v>
      </c>
      <c r="Z19" s="828">
        <f t="shared" si="14"/>
        <v>0</v>
      </c>
      <c r="AA19" s="828">
        <f t="shared" si="14"/>
        <v>2483</v>
      </c>
      <c r="AB19" s="828">
        <f t="shared" si="14"/>
        <v>4305</v>
      </c>
      <c r="AC19" s="828">
        <f t="shared" si="14"/>
        <v>2592</v>
      </c>
      <c r="AD19" s="828">
        <f t="shared" si="14"/>
        <v>0</v>
      </c>
      <c r="AE19" s="830">
        <f t="shared" si="14"/>
        <v>0</v>
      </c>
      <c r="AF19" s="831">
        <f t="shared" si="14"/>
        <v>0</v>
      </c>
      <c r="AG19" s="832">
        <f t="shared" si="14"/>
        <v>0</v>
      </c>
      <c r="AH19" s="830">
        <f t="shared" si="14"/>
        <v>0</v>
      </c>
      <c r="AI19" s="820">
        <f t="shared" si="14"/>
        <v>595</v>
      </c>
      <c r="AJ19" s="820">
        <f t="shared" si="14"/>
        <v>0</v>
      </c>
      <c r="AK19" s="830">
        <f t="shared" si="14"/>
        <v>0</v>
      </c>
      <c r="AL19" s="884">
        <f>IF(ISNUMBER(NºAsuntos!G19/NºAsuntos!E19),NºAsuntos!G19/NºAsuntos!E19," - ")</f>
        <v>0.6967787114845938</v>
      </c>
      <c r="AM19" s="885">
        <f>IF(ISNUMBER(((NºAsuntos!I19/NºAsuntos!G19)*11)/factor_trimestre),((NºAsuntos!I19/NºAsuntos!G19)*11)/factor_trimestre," - ")</f>
        <v>8.3959798994974868</v>
      </c>
      <c r="AN19" s="885">
        <f>IF(ISNUMBER('Resol  Asuntos'!D19/NºAsuntos!G19),'Resol  Asuntos'!D19/NºAsuntos!G19," - ")</f>
        <v>0.19932998324958123</v>
      </c>
      <c r="AO19" s="886">
        <f>IF(ISNUMBER((NºAsuntos!C19+NºAsuntos!E19)/NºAsuntos!G19),(NºAsuntos!C19+NºAsuntos!E19)/NºAsuntos!G19," - ")</f>
        <v>3.8006700167504186</v>
      </c>
      <c r="AP19" s="887" t="str">
        <f t="shared" si="2"/>
        <v xml:space="preserve"> - </v>
      </c>
      <c r="AQ19" s="888">
        <f>IF(OR(ISNUMBER(FIND("01",Criterios!A8,1)),ISNUMBER(FIND("02",Criterios!A8,1)),ISNUMBER(FIND("03",Criterios!A8,1)),ISNUMBER(FIND("04",Criterios!A8,1))),(I19-W19+K19)/(F19-K19),(H19-W19+K19)/(F19-K19))</f>
        <v>-0.76895142986836129</v>
      </c>
      <c r="AR19" s="889">
        <f>IF(ISNUMBER((Datos!P19-Datos!Q19)/(Datos!R19-Datos!P19+Datos!Q19)),(Datos!P19-Datos!Q19)/(Datos!R19-Datos!P19+Datos!Q19)," - ")</f>
        <v>-3.4320323014804845E-2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909.6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1264.9744397944701</v>
      </c>
      <c r="G21" s="253">
        <f>IF(ISNUMBER(STDEV(G8:G18)),STDEV(G8:G18),"-")</f>
        <v>1208.1892649746562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875.91711936689535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192.39196102401647</v>
      </c>
      <c r="AJ21" s="252">
        <f t="shared" si="18"/>
        <v>0</v>
      </c>
      <c r="AK21" s="254">
        <f t="shared" si="18"/>
        <v>0</v>
      </c>
      <c r="AL21" s="249">
        <f t="shared" si="18"/>
        <v>0.19397451882298652</v>
      </c>
      <c r="AM21" s="250">
        <f t="shared" si="18"/>
        <v>5.0242638197426954</v>
      </c>
      <c r="AN21" s="250">
        <f t="shared" si="18"/>
        <v>0.34334399413479649</v>
      </c>
      <c r="AO21" s="251">
        <f t="shared" si="18"/>
        <v>1.6771254829507305</v>
      </c>
      <c r="AP21" s="291" t="str">
        <f t="shared" si="18"/>
        <v>-</v>
      </c>
      <c r="AQ21" s="292">
        <f t="shared" si="18"/>
        <v>7.2523772429389552E-2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aPRUnHb3hp7GxzhAtV/xOmzrxhYDWyYkLmov7/n2poTCUl+CpMrhXjYz9AAKT/WHu9P6wdHXV7x88DoY4XbOdg==" saltValue="hq0HvBazoY4d2Ngin6dye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VELEZ-MALAGA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-0.42857142857142855</v>
      </c>
      <c r="F10" s="348">
        <f>IF(ISNUMBER((Datos!K10-Datos!U10)/Datos!U10),(Datos!K10-Datos!U10)/Datos!U10," - ")</f>
        <v>-0.2</v>
      </c>
      <c r="G10" s="349">
        <f>IF(ISNUMBER((Datos!L10-Datos!V10)/Datos!V10),(Datos!L10-Datos!V10)/Datos!V10," - ")</f>
        <v>-0.33333333333333331</v>
      </c>
      <c r="H10" s="230">
        <f>IF(ISNUMBER((Datos!M10-Datos!W10)/Datos!W10),(Datos!M10-Datos!W10)/Datos!W10," - ")</f>
        <v>0.33333333333333331</v>
      </c>
      <c r="I10" s="350">
        <f>IF(ISNUMBER((Tasas!C10-Datos!BE10)/Datos!BE10),(Tasas!C10-Datos!BE10)/Datos!BE10," - ")</f>
        <v>-0.16666666666666669</v>
      </c>
      <c r="J10" s="349">
        <f>IF(ISNUMBER((Tasas!D10-Datos!BF10)/Datos!BF10),(Tasas!D10-Datos!BF10)/Datos!BF10," - ")</f>
        <v>0.66666666666666674</v>
      </c>
      <c r="K10" s="351">
        <f>IF(ISNUMBER((Tasas!E10-Datos!BG10)/Datos!BG10),(Tasas!E10-Datos!BG10)/Datos!BG10," - ")</f>
        <v>-0.10714285714285708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0.3769968051118211</v>
      </c>
      <c r="I12" s="350">
        <f>IF(ISNUMBER((Tasas!C12-Datos!BE12)/Datos!BE12),(Tasas!C12-Datos!BE12)/Datos!BE12," - ")</f>
        <v>0.24980969135849007</v>
      </c>
      <c r="J12" s="349">
        <f>IF(ISNUMBER((Tasas!D12-Datos!BF12)/Datos!BF12),(Tasas!D12-Datos!BF12)/Datos!BF12," - ")</f>
        <v>-0.20900831619754554</v>
      </c>
      <c r="K12" s="351">
        <f>IF(ISNUMBER((Tasas!E12-Datos!BG12)/Datos!BG12),(Tasas!E12-Datos!BG12)/Datos!BG12," - ")</f>
        <v>0.19695780705746971</v>
      </c>
      <c r="M12" t="e">
        <f>IF(Monitorios="SI",Datos!CE12,0)</f>
        <v>#REF!</v>
      </c>
      <c r="N12" t="e">
        <f>IF(Monitorios="SI",Datos!CF12,0)</f>
        <v>#REF!</v>
      </c>
      <c r="O12" t="e">
        <f>IF(Monitorios="SI",Datos!CG12,0)</f>
        <v>#REF!</v>
      </c>
      <c r="P12" t="e">
        <f>IF(Monitorios="SI",Datos!CH12,0)</f>
        <v>#REF!</v>
      </c>
      <c r="Q12">
        <f>IF(J_V="SI",0,Datos!AG12)</f>
        <v>75</v>
      </c>
      <c r="R12">
        <f>IF(J_V="SI",0,Datos!AH12)</f>
        <v>105</v>
      </c>
      <c r="S12">
        <f>IF(J_V="SI",0,Datos!AI12)</f>
        <v>91</v>
      </c>
      <c r="T12">
        <f>IF(J_V="SI",0,Datos!AJ12)</f>
        <v>89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0.37658227848101267</v>
      </c>
      <c r="I13" s="357">
        <f>IF(ISNUMBER((Tasas!C13-Datos!BE13)/Datos!BE13),(Tasas!C13-Datos!BE13)/Datos!BE13," - ")</f>
        <v>0.25040409840631805</v>
      </c>
      <c r="J13" s="355">
        <f>IF(ISNUMBER((Tasas!D13-Datos!BF13)/Datos!BF13),(Tasas!D13-Datos!BF13)/Datos!BF13," - ")</f>
        <v>-0.20581908439051294</v>
      </c>
      <c r="K13" s="358">
        <f>IF(ISNUMBER((Tasas!E13-Datos!BG13)/Datos!BG13),(Tasas!E13-Datos!BG13)/Datos!BG13," - ")</f>
        <v>0.19731501911184307</v>
      </c>
      <c r="M13" t="e">
        <f>IF(Monitorios="SI",Datos!CE13,0)</f>
        <v>#REF!</v>
      </c>
      <c r="N13" t="e">
        <f>IF(Monitorios="SI",Datos!CF13,0)</f>
        <v>#REF!</v>
      </c>
      <c r="O13" t="e">
        <f>IF(Monitorios="SI",Datos!CG13,0)</f>
        <v>#REF!</v>
      </c>
      <c r="P13" t="e">
        <f>IF(Monitorios="SI",Datos!CH13,0)</f>
        <v>#REF!</v>
      </c>
      <c r="Q13">
        <f>IF(J_V="SI",0,Datos!AG13)</f>
        <v>75</v>
      </c>
      <c r="R13">
        <f>IF(J_V="SI",0,Datos!AH13)</f>
        <v>105</v>
      </c>
      <c r="S13">
        <f>IF(J_V="SI",0,Datos!AI13)</f>
        <v>91</v>
      </c>
      <c r="T13">
        <f>IF(J_V="SI",0,Datos!AJ13)</f>
        <v>89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-6.1512174284493806E-2</v>
      </c>
      <c r="E16" s="348">
        <f>IF(ISNUMBER(
   IF(D_I="SI",(Datos!J16-Datos!T16)/Datos!T16,(Datos!J16+Datos!AD16-(Datos!T16+Datos!AL16))/(Datos!T16+Datos!AL16))
     ),IF(D_I="SI",(Datos!J16-Datos!T16)/Datos!T16,(Datos!J16+Datos!AD16-(Datos!T16+Datos!AL16))/(Datos!T16+Datos!AL16))," - ")</f>
        <v>-0.27005789909015715</v>
      </c>
      <c r="F16" s="348">
        <f>IF(ISNUMBER(
   IF(D_I="SI",(Datos!K16-Datos!U16)/Datos!U16,(Datos!K16+Datos!AE16-(Datos!U16+Datos!AM16))/(Datos!U16+Datos!AM16))
     ),IF(D_I="SI",(Datos!K16-Datos!U16)/Datos!U16,(Datos!K16+Datos!AE16-(Datos!U16+Datos!AM16))/(Datos!U16+Datos!AM16))," - ")</f>
        <v>-0.37276697102024614</v>
      </c>
      <c r="G16" s="349">
        <f>IF(ISNUMBER(
   IF(D_I="SI",(Datos!L16-Datos!V16)/Datos!V16,(Datos!L16+Datos!AF16-(Datos!V16+Datos!AN16))/(Datos!V16+Datos!AN16))
     ),IF(D_I="SI",(Datos!L16-Datos!V16)/Datos!V16,(Datos!L16+Datos!AF16-(Datos!V16+Datos!AN16))/(Datos!V16+Datos!AN16))," - ")</f>
        <v>6.339285714285714E-2</v>
      </c>
      <c r="H16" s="230">
        <f>IF(ISNUMBER((Datos!M16-Datos!W16)/Datos!W16),(Datos!M16-Datos!W16)/Datos!W16," - ")</f>
        <v>-7.1895424836601302E-2</v>
      </c>
      <c r="I16" s="350">
        <f>IF(ISNUMBER((Tasas!C16-Datos!BE16)/Datos!BE16),(Tasas!C16-Datos!BE16)/Datos!BE16," - ")</f>
        <v>0.69537127034358048</v>
      </c>
      <c r="J16" s="349">
        <f>IF(ISNUMBER((Tasas!D16-Datos!BF16)/Datos!BF16),(Tasas!D16-Datos!BF16)/Datos!BF16," - ")</f>
        <v>0.47968064863076015</v>
      </c>
      <c r="K16" s="351">
        <f>IF(ISNUMBER((Tasas!E16-Datos!BG16)/Datos!BG16),(Tasas!E16-Datos!BG16)/Datos!BG16," - ")</f>
        <v>0.32730229997260363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4.4117647058823532E-2</v>
      </c>
      <c r="E17" s="348">
        <f>IF(ISNUMBER(
   IF(D_I="SI",(Datos!J17-Datos!T17)/Datos!T17,(Datos!J17+Datos!AD17-(Datos!T17+Datos!AL17))/(Datos!T17+Datos!AL17))
     ),IF(D_I="SI",(Datos!J17-Datos!T17)/Datos!T17,(Datos!J17+Datos!AD17-(Datos!T17+Datos!AL17))/(Datos!T17+Datos!AL17))," - ")</f>
        <v>0.28846153846153844</v>
      </c>
      <c r="F17" s="348">
        <f>IF(ISNUMBER(
   IF(D_I="SI",(Datos!K17-Datos!U17)/Datos!U17,(Datos!K17+Datos!AE17-(Datos!U17+Datos!AM17))/(Datos!U17+Datos!AM17))
     ),IF(D_I="SI",(Datos!K17-Datos!U17)/Datos!U17,(Datos!K17+Datos!AE17-(Datos!U17+Datos!AM17))/(Datos!U17+Datos!AM17))," - ")</f>
        <v>-9.0090090090090089E-3</v>
      </c>
      <c r="G17" s="349">
        <f>IF(ISNUMBER(
   IF(D_I="SI",(Datos!L17-Datos!V17)/Datos!V17,(Datos!L17+Datos!AF17-(Datos!V17+Datos!AN17))/(Datos!V17+Datos!AN17))
     ),IF(D_I="SI",(Datos!L17-Datos!V17)/Datos!V17,(Datos!L17+Datos!AF17-(Datos!V17+Datos!AN17))/(Datos!V17+Datos!AN17))," - ")</f>
        <v>0.55737704918032782</v>
      </c>
      <c r="H17" s="230">
        <f>IF(ISNUMBER((Datos!M17-Datos!W17)/Datos!W17),(Datos!M17-Datos!W17)/Datos!W17," - ")</f>
        <v>-0.1</v>
      </c>
      <c r="I17" s="350">
        <f>IF(ISNUMBER((Tasas!C17-Datos!BE17)/Datos!BE17),(Tasas!C17-Datos!BE17)/Datos!BE17," - ")</f>
        <v>0.57153502235469433</v>
      </c>
      <c r="J17" s="349">
        <f>IF(ISNUMBER((Tasas!D17-Datos!BF17)/Datos!BF17),(Tasas!D17-Datos!BF17)/Datos!BF17," - ")</f>
        <v>-9.1818181818181785E-2</v>
      </c>
      <c r="K17" s="351">
        <f>IF(ISNUMBER((Tasas!E17-Datos!BG17)/Datos!BG17),(Tasas!E17-Datos!BG17)/Datos!BG17," - ")</f>
        <v>0.20269556025369978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-5.8530510585305104E-2</v>
      </c>
      <c r="E18" s="354">
        <f>IF(ISNUMBER(
   IF(D_I="SI",(Datos!J18-Datos!T18)/Datos!T18,(Datos!J18+Datos!AD18-(Datos!T18+Datos!AL18))/(Datos!T18+Datos!AL18))
     ),IF(D_I="SI",(Datos!J18-Datos!T18)/Datos!T18,(Datos!J18+Datos!AD18-(Datos!T18+Datos!AL18))/(Datos!T18+Datos!AL18))," - ")</f>
        <v>-0.24702616970658209</v>
      </c>
      <c r="F18" s="354">
        <f>IF(ISNUMBER(
   IF(D_I="SI",(Datos!K18-Datos!U18)/Datos!U18,(Datos!K18+Datos!AE18-(Datos!U18+Datos!AM18))/(Datos!U18+Datos!AM18))
     ),IF(D_I="SI",(Datos!K18-Datos!U18)/Datos!U18,(Datos!K18+Datos!AE18-(Datos!U18+Datos!AM18))/(Datos!U18+Datos!AM18))," - ")</f>
        <v>-0.35741444866920152</v>
      </c>
      <c r="G18" s="355">
        <f>IF(ISNUMBER(
   IF(D_I="SI",(Datos!L18-Datos!V18)/Datos!V18,(Datos!L18+Datos!AF18-(Datos!V18+Datos!AN18))/(Datos!V18+Datos!AN18))
     ),IF(D_I="SI",(Datos!L18-Datos!V18)/Datos!V18,(Datos!L18+Datos!AF18-(Datos!V18+Datos!AN18))/(Datos!V18+Datos!AN18))," - ")</f>
        <v>7.6488483268144281E-2</v>
      </c>
      <c r="H18" s="356">
        <f>IF(ISNUMBER((Datos!M18-Datos!W18)/Datos!W18),(Datos!M18-Datos!W18)/Datos!W18," - ")</f>
        <v>-7.5144508670520235E-2</v>
      </c>
      <c r="I18" s="357">
        <f>IF(ISNUMBER((Tasas!C18-Datos!BE18)/Datos!BE18),(Tasas!C18-Datos!BE18)/Datos!BE18," - ")</f>
        <v>0.67524539112143167</v>
      </c>
      <c r="J18" s="355">
        <f>IF(ISNUMBER((Tasas!D18-Datos!BF18)/Datos!BF18),(Tasas!D18-Datos!BF18)/Datos!BF18," - ")</f>
        <v>0.43927215514587664</v>
      </c>
      <c r="K18" s="358">
        <f>IF(ISNUMBER((Tasas!E18-Datos!BG18)/Datos!BG18),(Tasas!E18-Datos!BG18)/Datos!BG18," - ")</f>
        <v>0.31509625734544999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0.18136188723439853</v>
      </c>
      <c r="E19" s="363">
        <f>IF(ISNUMBER(
   IF(J_V="SI",(Datos!J19-Datos!T19)/Datos!T19,(Datos!J19+Datos!Z19-(Datos!T19+Datos!AH19))/(Datos!T19+Datos!AH19))
     ),IF(J_V="SI",(Datos!J19-Datos!T19)/Datos!T19,(Datos!J19+Datos!Z19-(Datos!T19+Datos!AH19))/(Datos!T19+Datos!AH19))," - ")</f>
        <v>0.20642072655589974</v>
      </c>
      <c r="F19" s="363">
        <f>IF(ISNUMBER(
   IF(J_V="SI",(Datos!K19-Datos!U19)/Datos!U19,(Datos!K19+Datos!AA19-(Datos!U19+Datos!AI19))/(Datos!U19+Datos!AI19))
     ),IF(J_V="SI",(Datos!K19-Datos!U19)/Datos!U19,(Datos!K19+Datos!AA19-(Datos!U19+Datos!AI19))/(Datos!U19+Datos!AI19))," - ")</f>
        <v>-0.17609715705216672</v>
      </c>
      <c r="G19" s="364">
        <f>IF(ISNUMBER(
   IF(J_V="SI",(Datos!L19-Datos!V19)/Datos!V19,(Datos!L19+Datos!AB19-(Datos!V19+Datos!AJ19))/(Datos!V19+Datos!AJ19))
     ),IF(J_V="SI",(Datos!L19-Datos!V19)/Datos!V19,(Datos!L19+Datos!AB19-(Datos!V19+Datos!AJ19))/(Datos!V19+Datos!AJ19))," - ")</f>
        <v>0.41473327688399664</v>
      </c>
      <c r="H19" s="365">
        <f>IF(ISNUMBER((Datos!M19-Datos!W19)/Datos!W19),(Datos!M19-Datos!W19)/Datos!W19," - ")</f>
        <v>0.21676891615541921</v>
      </c>
      <c r="I19" s="362">
        <f>IF(ISNUMBER((Tasas!C19-Datos!BE19)/Datos!BE19),(Tasas!C19-Datos!BE19)/Datos!BE19," - ")</f>
        <v>0.71711177961498129</v>
      </c>
      <c r="J19" s="363">
        <f>IF(ISNUMBER((Tasas!D19-Datos!BF19)/Datos!BF19),(Tasas!D19-Datos!BF19)/Datos!BF19," - ")</f>
        <v>0.21782888585705365</v>
      </c>
      <c r="K19" s="364">
        <f>IF(ISNUMBER((Tasas!E19-Datos!BG19)/Datos!BG19),(Tasas!E19-Datos!BG19)/Datos!BG19," - ")</f>
        <v>0.44519599818290995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7.6589136865531218E-2</v>
      </c>
      <c r="E21" s="278">
        <f t="shared" si="1"/>
        <v>0.31244239524238981</v>
      </c>
      <c r="F21" s="278">
        <f t="shared" si="1"/>
        <v>0.16956984765846492</v>
      </c>
      <c r="G21" s="279">
        <f t="shared" si="1"/>
        <v>0.36448093998195119</v>
      </c>
      <c r="H21" s="285">
        <f t="shared" si="1"/>
        <v>0.24425530326686434</v>
      </c>
      <c r="I21" s="277">
        <f t="shared" si="1"/>
        <v>0.33343680635661427</v>
      </c>
      <c r="J21" s="278">
        <f t="shared" si="1"/>
        <v>0.39190401132818664</v>
      </c>
      <c r="K21" s="279">
        <f t="shared" si="1"/>
        <v>0.15687440396246832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7SUj8aREbtUS5WnBarHbptuYTawLisI7bFfPS6YgpplTgqhB2+oDeZOtnp+eUrrl7yZckd76COBbJRH5pxgpQ==" saltValue="wSQSzWsvl1h5gOtUt7D+G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